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00" windowHeight="8510"/>
  </bookViews>
  <sheets>
    <sheet name="Calcs" sheetId="1" r:id="rId1"/>
    <sheet name="DataTable" sheetId="2" r:id="rId2"/>
  </sheets>
  <definedNames>
    <definedName name="solver_adj" localSheetId="0" hidden="1">Calcs!$E$16:$E$19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Calcs!$E$16:$E$19</definedName>
    <definedName name="solver_lhs2" localSheetId="0" hidden="1">Calcs!$E$19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Calcs!$K$17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2</definedName>
    <definedName name="solver_rhs1" localSheetId="0" hidden="1">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5</definedName>
    <definedName name="solver_ver" localSheetId="0" hidden="1">3</definedName>
  </definedNames>
  <calcPr calcId="145621" iterate="1"/>
</workbook>
</file>

<file path=xl/calcChain.xml><?xml version="1.0" encoding="utf-8"?>
<calcChain xmlns="http://schemas.openxmlformats.org/spreadsheetml/2006/main">
  <c r="I15" i="1" l="1"/>
  <c r="C28" i="1" s="1"/>
  <c r="B19" i="1"/>
  <c r="C19" i="1"/>
  <c r="D19" i="1"/>
  <c r="G16" i="1" l="1"/>
  <c r="G19" i="1"/>
  <c r="G18" i="1"/>
  <c r="G17" i="1"/>
  <c r="D16" i="1"/>
  <c r="C16" i="1"/>
  <c r="B16" i="1"/>
  <c r="C145" i="2"/>
  <c r="E145" i="2"/>
  <c r="B17" i="1"/>
  <c r="E9" i="2"/>
  <c r="D39" i="2"/>
  <c r="C39" i="2"/>
  <c r="E85" i="2"/>
  <c r="E84" i="2"/>
  <c r="E92" i="2"/>
  <c r="D92" i="2"/>
  <c r="E89" i="2"/>
  <c r="D89" i="2"/>
  <c r="C89" i="2"/>
  <c r="F128" i="2"/>
  <c r="F125" i="2"/>
  <c r="F144" i="2"/>
  <c r="B18" i="1"/>
  <c r="C18" i="1"/>
  <c r="D18" i="1"/>
  <c r="C17" i="1"/>
  <c r="D17" i="1"/>
  <c r="F145" i="2"/>
  <c r="D143" i="2"/>
  <c r="F138" i="2"/>
  <c r="F137" i="2"/>
  <c r="F134" i="2"/>
  <c r="F133" i="2"/>
  <c r="F123" i="2"/>
  <c r="F116" i="2"/>
  <c r="E116" i="2"/>
  <c r="D116" i="2"/>
  <c r="C116" i="2"/>
  <c r="D80" i="2"/>
  <c r="C80" i="2"/>
  <c r="E76" i="2"/>
  <c r="D76" i="2"/>
  <c r="C76" i="2"/>
  <c r="D74" i="2"/>
  <c r="C74" i="2"/>
  <c r="D72" i="2"/>
  <c r="C72" i="2"/>
  <c r="E42" i="2"/>
  <c r="D42" i="2"/>
  <c r="E31" i="2"/>
  <c r="D31" i="2"/>
  <c r="C31" i="2"/>
  <c r="D28" i="2"/>
  <c r="C28" i="2"/>
  <c r="D25" i="2"/>
  <c r="C25" i="2"/>
  <c r="F23" i="2"/>
  <c r="E20" i="2"/>
  <c r="D20" i="2"/>
  <c r="C20" i="2"/>
  <c r="D12" i="2"/>
  <c r="C12" i="2"/>
  <c r="F68" i="1"/>
  <c r="F65" i="1"/>
  <c r="F53" i="1"/>
  <c r="F50" i="1"/>
  <c r="F38" i="1"/>
  <c r="F30" i="1"/>
  <c r="E23" i="1" l="1"/>
  <c r="E21" i="1"/>
  <c r="F32" i="1"/>
  <c r="F34" i="1"/>
  <c r="F40" i="1"/>
  <c r="F42" i="1"/>
  <c r="F51" i="1"/>
  <c r="F66" i="1" l="1"/>
  <c r="E22" i="1"/>
  <c r="K17" i="1" s="1"/>
  <c r="F69" i="1"/>
  <c r="F54" i="1"/>
</calcChain>
</file>

<file path=xl/sharedStrings.xml><?xml version="1.0" encoding="utf-8"?>
<sst xmlns="http://schemas.openxmlformats.org/spreadsheetml/2006/main" count="538" uniqueCount="276">
  <si>
    <t>Developed by Tom Richard, Department of Agricultural and Biological Engineering, Cornell University</t>
  </si>
  <si>
    <t>The spreadsheet then calculates the mixture moisture content and C/N ratio.</t>
  </si>
  <si>
    <t>Alternatively, the spreadsheet will calculate the proper proportions for moisture and/or  C/N goals (see below).</t>
  </si>
  <si>
    <t xml:space="preserve">For further explanations of the formulas embedded in this worksheet, see the Science and Engineering section of the </t>
  </si>
  <si>
    <t>Cornell Composting web site:</t>
  </si>
  <si>
    <t>http://www.cals.cornell.edu/dept/compost/</t>
  </si>
  <si>
    <t xml:space="preserve">NOTE - do not copy and paste the existing data out of the table, as the formulas may remain tied to the old data. </t>
  </si>
  <si>
    <t>Input areas are shaded blue or purple.  Formula results are in red cells.</t>
  </si>
  <si>
    <t>Ingredient</t>
  </si>
  <si>
    <t>% Moisture</t>
  </si>
  <si>
    <t>% Carbon</t>
  </si>
  <si>
    <t>% Nitrogen</t>
  </si>
  <si>
    <t xml:space="preserve">}  Note: </t>
  </si>
  <si>
    <t>}   these masses are solved for in</t>
  </si>
  <si>
    <t>}   some of the equations below.</t>
  </si>
  <si>
    <t>Calculated mixture moisture content:</t>
  </si>
  <si>
    <t>(masses as specified)</t>
  </si>
  <si>
    <t>Calculated mixture C/N ratio:</t>
  </si>
  <si>
    <t>The required mass of the third material can be determined given characteristics, the masses of the first two, and goals:</t>
  </si>
  <si>
    <t>moisture goal:</t>
  </si>
  <si>
    <t>(set these goals to match your requirements)</t>
  </si>
  <si>
    <t>C/N ratio goal:</t>
  </si>
  <si>
    <t>Calculated mass of third ingredient:</t>
  </si>
  <si>
    <t>To achieve moisture goal:</t>
  </si>
  <si>
    <t>To achieve C/N goal:</t>
  </si>
  <si>
    <t>For these same moisture and C/N goals, the required mass of the fourth material can be determined given</t>
  </si>
  <si>
    <t xml:space="preserve"> the masses of the first three:</t>
  </si>
  <si>
    <t>Calculated mass of fourth ingredient:</t>
  </si>
  <si>
    <t>Notes:  negative numbers indicate that the characteristics of the added ingredient are not</t>
  </si>
  <si>
    <t xml:space="preserve"> on the opposite side of the goal from the initial mixture.  A "divide by zero" error will </t>
  </si>
  <si>
    <t>occur if you try to add water to balance the C/N ratio .</t>
  </si>
  <si>
    <t>The simultaneous solution for moisture and C/N ratios (goals as above) for a three ingredient mixture,</t>
  </si>
  <si>
    <t>given the mass of the first material, is:</t>
  </si>
  <si>
    <t>Calculated mass of second ingredient:</t>
  </si>
  <si>
    <t>Note:  A negative number indicates that a simultaneous solution for these goals is not possible</t>
  </si>
  <si>
    <t xml:space="preserve">with the mixture of ingredients selected.  Try some different ingredients, re-evaluate your goals, </t>
  </si>
  <si>
    <t>or add a fourth ingredient using the formula below.</t>
  </si>
  <si>
    <t>You can check these solutions by plugging the calculated masses into the table at the top of this spreadsheet.</t>
  </si>
  <si>
    <t>Similarly, the simultaneous solution for moisture and C/N ratios (goals as above) for a four ingredient mixture,</t>
  </si>
  <si>
    <t>given the mass of the first and second materials, is:</t>
  </si>
  <si>
    <t xml:space="preserve">Note:  A negative number indicates that a simultaneous solution for these goals is not  </t>
  </si>
  <si>
    <t>possible with the mixture of ingredients selected.  Try some different ingredients, or</t>
  </si>
  <si>
    <t xml:space="preserve"> re-evaluate your goals.</t>
  </si>
  <si>
    <t>Again, you can check these solutions by plugging the calculated masses into the table at the top of this spreadsheet.</t>
  </si>
  <si>
    <t>% N</t>
  </si>
  <si>
    <t>C:N ratio</t>
  </si>
  <si>
    <t>Moisture</t>
  </si>
  <si>
    <t>Bulk density</t>
  </si>
  <si>
    <t>Type of</t>
  </si>
  <si>
    <t>(dry</t>
  </si>
  <si>
    <t>(weight</t>
  </si>
  <si>
    <t>content %</t>
  </si>
  <si>
    <t>(pounds per</t>
  </si>
  <si>
    <t>Material</t>
  </si>
  <si>
    <t>value</t>
  </si>
  <si>
    <t>weight)</t>
  </si>
  <si>
    <t>to weight)</t>
  </si>
  <si>
    <t>(wet weight)</t>
  </si>
  <si>
    <t>cubic yard)</t>
  </si>
  <si>
    <t>Crop residues and fruit/vegetable-processing wastes</t>
  </si>
  <si>
    <t>Apple filter cake</t>
  </si>
  <si>
    <t>Typical</t>
  </si>
  <si>
    <t>Apple pomace</t>
  </si>
  <si>
    <t>Apple-processing sludge</t>
  </si>
  <si>
    <t>Cocoa shells</t>
  </si>
  <si>
    <t>Coffee grounds</t>
  </si>
  <si>
    <t>-</t>
  </si>
  <si>
    <t>Corn cobs Range</t>
  </si>
  <si>
    <t>Range</t>
  </si>
  <si>
    <t>0.4-0.8</t>
  </si>
  <si>
    <t>56-123</t>
  </si>
  <si>
    <t>9-18</t>
  </si>
  <si>
    <t>Corn cobs</t>
  </si>
  <si>
    <t>Average</t>
  </si>
  <si>
    <t>Corn stalks</t>
  </si>
  <si>
    <t>Cottonseed meal</t>
  </si>
  <si>
    <t>Cranberry filter cake</t>
  </si>
  <si>
    <t>Cranberry plant (stems, leaves)</t>
  </si>
  <si>
    <t>Cull potatoes</t>
  </si>
  <si>
    <t>Fruit wastes Range</t>
  </si>
  <si>
    <t>0.9-2.6</t>
  </si>
  <si>
    <t>20-49</t>
  </si>
  <si>
    <t>62-88</t>
  </si>
  <si>
    <t>Fruit wastes</t>
  </si>
  <si>
    <t>Olive husks</t>
  </si>
  <si>
    <t>Potato-processing sludge</t>
  </si>
  <si>
    <t>Potato tops</t>
  </si>
  <si>
    <t>Rice hulls Range</t>
  </si>
  <si>
    <t>0-0.4</t>
  </si>
  <si>
    <t>113-1120</t>
  </si>
  <si>
    <t>7-12</t>
  </si>
  <si>
    <t>Rice hulls</t>
  </si>
  <si>
    <t>Soybean meal</t>
  </si>
  <si>
    <t>Tomato-processing waste</t>
  </si>
  <si>
    <t>11</t>
  </si>
  <si>
    <t>Vegetable produce</t>
  </si>
  <si>
    <t>Vegetable wastes</t>
  </si>
  <si>
    <t>Fish and meat processing</t>
  </si>
  <si>
    <t>Blood wastes (slaughterhouse waste and dried blood)</t>
  </si>
  <si>
    <t>Crab and lobster wastes range</t>
  </si>
  <si>
    <t>4.6-8.2</t>
  </si>
  <si>
    <t>4.0-5.4</t>
  </si>
  <si>
    <t>35-61</t>
  </si>
  <si>
    <t>Crab and lobster wastes</t>
  </si>
  <si>
    <t>Fish-breading crumbs</t>
  </si>
  <si>
    <t>Fish-processing sludge</t>
  </si>
  <si>
    <t>Fish wastes (gurry, racks, and so on) range</t>
  </si>
  <si>
    <t>6.5-14.2</t>
  </si>
  <si>
    <t>2.6-5.0</t>
  </si>
  <si>
    <t>50-81</t>
  </si>
  <si>
    <t>Fish wastes (gurry, racks, and so on)</t>
  </si>
  <si>
    <t>Mixed slaughterhouse waste</t>
  </si>
  <si>
    <t>Mussel wastes</t>
  </si>
  <si>
    <t>Poultry carcasses</t>
  </si>
  <si>
    <t>Paunch manure</t>
  </si>
  <si>
    <t>Shrimp wastes</t>
  </si>
  <si>
    <t>Manures</t>
  </si>
  <si>
    <t>Broiler litter range</t>
  </si>
  <si>
    <t>1.6-3.9</t>
  </si>
  <si>
    <t>12-15 a</t>
  </si>
  <si>
    <t>22-46</t>
  </si>
  <si>
    <t>756-1,026</t>
  </si>
  <si>
    <t>Broiler litter</t>
  </si>
  <si>
    <t>Cattle range</t>
  </si>
  <si>
    <t>1.5-4.2</t>
  </si>
  <si>
    <t>11-30</t>
  </si>
  <si>
    <t>67-87</t>
  </si>
  <si>
    <t>1,323-1,674</t>
  </si>
  <si>
    <t>Cattle manure</t>
  </si>
  <si>
    <t>Dairy tie stall manure</t>
  </si>
  <si>
    <t>Dairy free stall manure</t>
  </si>
  <si>
    <t>Horse-general range</t>
  </si>
  <si>
    <t>1.4-2.3</t>
  </si>
  <si>
    <t>22-50</t>
  </si>
  <si>
    <t>59-79</t>
  </si>
  <si>
    <t>1,215-1,620</t>
  </si>
  <si>
    <t>Horse-general manure</t>
  </si>
  <si>
    <t>Horse-race track range</t>
  </si>
  <si>
    <t>0.8-1.7</t>
  </si>
  <si>
    <t>29-56</t>
  </si>
  <si>
    <t>52-67</t>
  </si>
  <si>
    <t>Horse-race track manure</t>
  </si>
  <si>
    <t>Laying hens range</t>
  </si>
  <si>
    <t>4-10</t>
  </si>
  <si>
    <t>3-10</t>
  </si>
  <si>
    <t>62-75</t>
  </si>
  <si>
    <t>1,377-1,620</t>
  </si>
  <si>
    <t>Laying hens manure</t>
  </si>
  <si>
    <t>Sheep range</t>
  </si>
  <si>
    <t>1.3-3.9</t>
  </si>
  <si>
    <t>13-20</t>
  </si>
  <si>
    <t>60-75</t>
  </si>
  <si>
    <t>Sheep manure</t>
  </si>
  <si>
    <t>Swine range</t>
  </si>
  <si>
    <t>1.9-4.3</t>
  </si>
  <si>
    <t>9-19</t>
  </si>
  <si>
    <t>65-91</t>
  </si>
  <si>
    <t>Swine manure</t>
  </si>
  <si>
    <t>Turkey litter</t>
  </si>
  <si>
    <t>Municipal wastes</t>
  </si>
  <si>
    <t>Garbage (food waste)</t>
  </si>
  <si>
    <t>Night soil</t>
  </si>
  <si>
    <t>Paper from domestic refuse</t>
  </si>
  <si>
    <t>Pharmaceutical wastes</t>
  </si>
  <si>
    <t>Refuse (mixed food, paper,</t>
  </si>
  <si>
    <t>and so on)</t>
  </si>
  <si>
    <t>Sewage sludge</t>
  </si>
  <si>
    <t>2-6.9</t>
  </si>
  <si>
    <t>5-16</t>
  </si>
  <si>
    <t>72-84</t>
  </si>
  <si>
    <t>1,075-1,750</t>
  </si>
  <si>
    <t>Activated sludge</t>
  </si>
  <si>
    <t>Digested sludge</t>
  </si>
  <si>
    <t>Straw, hay, silage</t>
  </si>
  <si>
    <t>Corn silage</t>
  </si>
  <si>
    <t>Hay-general range</t>
  </si>
  <si>
    <t>0.7-3.6</t>
  </si>
  <si>
    <t>15-32</t>
  </si>
  <si>
    <t>8-10</t>
  </si>
  <si>
    <t>Hay-general</t>
  </si>
  <si>
    <t>Hay-legume range</t>
  </si>
  <si>
    <t>1.8-3.6</t>
  </si>
  <si>
    <t>15-19</t>
  </si>
  <si>
    <t>Hay-legume</t>
  </si>
  <si>
    <t>Hay-non-legume range</t>
  </si>
  <si>
    <t>0.7-2.5</t>
  </si>
  <si>
    <t>Hay-non-legume</t>
  </si>
  <si>
    <t>Straw-general range</t>
  </si>
  <si>
    <t>0.3-1.1</t>
  </si>
  <si>
    <t>48-150</t>
  </si>
  <si>
    <t>4-27</t>
  </si>
  <si>
    <t>58-378</t>
  </si>
  <si>
    <t>Straw-general</t>
  </si>
  <si>
    <t>Straw-oat range</t>
  </si>
  <si>
    <t>0.6-1.1</t>
  </si>
  <si>
    <t>48-98</t>
  </si>
  <si>
    <t>Straw-oat</t>
  </si>
  <si>
    <t>Straw-wheat range</t>
  </si>
  <si>
    <t>0.3-0.5</t>
  </si>
  <si>
    <t>100-150</t>
  </si>
  <si>
    <t>Straw-wheat</t>
  </si>
  <si>
    <t>Wood and paper</t>
  </si>
  <si>
    <t>Bark-hardwoods range</t>
  </si>
  <si>
    <t>0.10-0.41</t>
  </si>
  <si>
    <t>116-436</t>
  </si>
  <si>
    <t>Bark-hardwoods</t>
  </si>
  <si>
    <t>Bark-softwoods range</t>
  </si>
  <si>
    <t>0.04-0.39</t>
  </si>
  <si>
    <t>131-1,285</t>
  </si>
  <si>
    <t>Bark-softwoods</t>
  </si>
  <si>
    <t>Corrugated cardboard</t>
  </si>
  <si>
    <t>Lumbermill waste</t>
  </si>
  <si>
    <t>Newsprint</t>
  </si>
  <si>
    <t>Paper fiber sludge</t>
  </si>
  <si>
    <t>Paper mill sludge</t>
  </si>
  <si>
    <t>Paper pulp</t>
  </si>
  <si>
    <t>Sawdust range</t>
  </si>
  <si>
    <t>0.06-0.8</t>
  </si>
  <si>
    <t>200-750</t>
  </si>
  <si>
    <t>19-65</t>
  </si>
  <si>
    <t>350-450</t>
  </si>
  <si>
    <t>Sawdust</t>
  </si>
  <si>
    <t>Telephone books</t>
  </si>
  <si>
    <t>Wood chips</t>
  </si>
  <si>
    <t>Wood-hardwoods</t>
  </si>
  <si>
    <t>0.06-0.11</t>
  </si>
  <si>
    <t>451-819</t>
  </si>
  <si>
    <t>Wood-softwoods</t>
  </si>
  <si>
    <t>0.04-0.23</t>
  </si>
  <si>
    <t>212-1,313</t>
  </si>
  <si>
    <t>Yard wastes and other vegetation</t>
  </si>
  <si>
    <t>Grass clippings range</t>
  </si>
  <si>
    <t>2.0-6.0</t>
  </si>
  <si>
    <t>9-25</t>
  </si>
  <si>
    <t>Grass clippings</t>
  </si>
  <si>
    <t>Leaves range</t>
  </si>
  <si>
    <t>0.5-1.3</t>
  </si>
  <si>
    <t>40-80</t>
  </si>
  <si>
    <t>Leaves</t>
  </si>
  <si>
    <t>Leaves, Loose and dry</t>
  </si>
  <si>
    <t>Leaves, Compacted and moist</t>
  </si>
  <si>
    <t>Seaweed range</t>
  </si>
  <si>
    <t>1.2-3.0</t>
  </si>
  <si>
    <t>5-27</t>
  </si>
  <si>
    <t>Seaweed</t>
  </si>
  <si>
    <t>Shrub trimmings</t>
  </si>
  <si>
    <t>Tree trimmings</t>
  </si>
  <si>
    <t>Water hyacinth-fresh</t>
  </si>
  <si>
    <t>Urine</t>
  </si>
  <si>
    <t>Cranberry filter cake with rice hulls</t>
  </si>
  <si>
    <t>Hardwood (chips, shavings, and so on)</t>
  </si>
  <si>
    <t>Softwood (chips, shavings, and so on)</t>
  </si>
  <si>
    <t>Grass clippings, Loose</t>
  </si>
  <si>
    <t>Grass clippings, Compacted</t>
  </si>
  <si>
    <t>Water</t>
  </si>
  <si>
    <t>http://www.jenkinspublishing.com/messages/messages/4/14.html?1136373979</t>
  </si>
  <si>
    <t>%N: http://www.sunset.com/garden/earth-friendly/starbucks-coffee-compost-test-00400000016986/; %Moisture: http://www.google.com/patents/US3823487</t>
  </si>
  <si>
    <t>Moisture: http://web.aces.uiuc.edu/vista/pdf_pubs/LEAFDISP.PDF</t>
  </si>
  <si>
    <t>*Bulk Density Assumed From Above</t>
  </si>
  <si>
    <t>Volume (gal)</t>
  </si>
  <si>
    <t xml:space="preserve"> Mass (lbs.)</t>
  </si>
  <si>
    <t>volume goal (gal):</t>
  </si>
  <si>
    <t>Calculated mixture volume:</t>
  </si>
  <si>
    <t>Most data from http://compost.css.cornell.edu/OnFarmHandbook/apa.taba1.html</t>
  </si>
  <si>
    <t>cube</t>
  </si>
  <si>
    <t>cylinder</t>
  </si>
  <si>
    <t>yes</t>
  </si>
  <si>
    <t>no</t>
  </si>
  <si>
    <t>Optimizer Error</t>
  </si>
  <si>
    <r>
      <t>gal/yd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</si>
  <si>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To use this spreadsheet, select your ingredients in cells A16 to A18 (up to four ingredients).  </t>
  </si>
  <si>
    <t>&lt;---------Use Excel's Solver function to minimize this cell by changing cells E16:E19.  Check multiple starting points to avoid local minima.</t>
  </si>
  <si>
    <t>The Homestead Laboratory</t>
  </si>
  <si>
    <t xml:space="preserve">Shamelessly modified by Jake Kruger,      </t>
  </si>
  <si>
    <t>(gallons)</t>
  </si>
  <si>
    <t>Moisture and Carbon/Nitrogen Ratio Calculation Spreadsheet (updated March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</si>
</sst>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Geneva"/>
    </font>
    <font>
      <sz val="10"/>
      <color theme="0" tint="-0.34998626667073579"/>
      <name val="Geneva"/>
    </font>
    <font>
      <sz val="10"/>
      <name val="Geneva"/>
    </font>
    <font>
      <sz val="11"/>
      <color rgb="FF3F3F7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5" fillId="6" borderId="2" applyNumberFormat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NumberFormat="1" applyFont="1" applyAlignment="1" applyProtection="1">
      <alignment vertical="top"/>
    </xf>
    <xf numFmtId="0" fontId="0" fillId="0" borderId="0" xfId="0" applyProtection="1"/>
    <xf numFmtId="0" fontId="0" fillId="0" borderId="0" xfId="0" applyNumberFormat="1" applyFont="1" applyAlignment="1" applyProtection="1">
      <alignment vertical="top"/>
    </xf>
    <xf numFmtId="0" fontId="0" fillId="0" borderId="0" xfId="0" applyNumberFormat="1" applyAlignment="1" applyProtection="1">
      <alignment vertical="top"/>
    </xf>
    <xf numFmtId="0" fontId="0" fillId="0" borderId="1" xfId="0" applyNumberFormat="1" applyFont="1" applyBorder="1" applyAlignment="1" applyProtection="1">
      <alignment vertical="top"/>
    </xf>
    <xf numFmtId="0" fontId="0" fillId="2" borderId="0" xfId="0" applyNumberFormat="1" applyFont="1" applyFill="1" applyAlignment="1" applyProtection="1">
      <alignment vertical="top"/>
      <protection locked="0"/>
    </xf>
    <xf numFmtId="164" fontId="0" fillId="2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vertical="top"/>
    </xf>
    <xf numFmtId="0" fontId="0" fillId="0" borderId="0" xfId="0" applyNumberFormat="1" applyFont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vertical="top"/>
    </xf>
    <xf numFmtId="164" fontId="0" fillId="0" borderId="0" xfId="0" applyNumberFormat="1" applyFont="1" applyAlignment="1" applyProtection="1">
      <alignment horizontal="right" vertical="top"/>
    </xf>
    <xf numFmtId="2" fontId="2" fillId="4" borderId="0" xfId="0" applyNumberFormat="1" applyFont="1" applyFill="1" applyAlignment="1" applyProtection="1">
      <alignment vertical="top"/>
    </xf>
    <xf numFmtId="0" fontId="0" fillId="0" borderId="0" xfId="0" applyAlignment="1" applyProtection="1">
      <alignment horizontal="right"/>
    </xf>
    <xf numFmtId="2" fontId="0" fillId="0" borderId="0" xfId="0" applyNumberFormat="1" applyFont="1" applyAlignment="1" applyProtection="1">
      <alignment vertical="top"/>
    </xf>
    <xf numFmtId="2" fontId="0" fillId="0" borderId="0" xfId="0" applyNumberFormat="1" applyFont="1" applyAlignment="1" applyProtection="1">
      <alignment horizontal="right" vertical="top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" fontId="3" fillId="0" borderId="0" xfId="0" quotePrefix="1" applyNumberFormat="1" applyFont="1" applyBorder="1" applyAlignment="1">
      <alignment vertical="center" wrapText="1"/>
    </xf>
    <xf numFmtId="2" fontId="0" fillId="0" borderId="0" xfId="0" quotePrefix="1" applyNumberFormat="1" applyBorder="1" applyAlignment="1">
      <alignment vertical="center" wrapText="1"/>
    </xf>
    <xf numFmtId="2" fontId="3" fillId="0" borderId="0" xfId="0" quotePrefix="1" applyNumberFormat="1" applyFont="1" applyBorder="1" applyAlignment="1">
      <alignment vertical="center" wrapText="1"/>
    </xf>
    <xf numFmtId="0" fontId="3" fillId="0" borderId="0" xfId="0" applyFont="1"/>
    <xf numFmtId="18" fontId="0" fillId="0" borderId="0" xfId="0" quotePrefix="1" applyNumberFormat="1" applyBorder="1" applyAlignment="1">
      <alignment vertical="center" wrapText="1"/>
    </xf>
    <xf numFmtId="0" fontId="3" fillId="0" borderId="0" xfId="0" quotePrefix="1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/>
    <xf numFmtId="0" fontId="0" fillId="0" borderId="0" xfId="0" applyNumberFormat="1" applyFont="1" applyFill="1" applyBorder="1" applyAlignment="1" applyProtection="1">
      <alignment vertical="top"/>
    </xf>
    <xf numFmtId="164" fontId="0" fillId="5" borderId="0" xfId="0" applyNumberFormat="1" applyFont="1" applyFill="1" applyAlignment="1" applyProtection="1">
      <alignment vertical="top"/>
    </xf>
    <xf numFmtId="2" fontId="0" fillId="0" borderId="0" xfId="0" applyNumberFormat="1" applyAlignment="1" applyProtection="1">
      <alignment horizontal="center"/>
    </xf>
    <xf numFmtId="0" fontId="4" fillId="0" borderId="0" xfId="0" applyFont="1" applyFill="1" applyBorder="1" applyAlignment="1">
      <alignment horizontal="left" vertical="center"/>
    </xf>
    <xf numFmtId="2" fontId="0" fillId="0" borderId="0" xfId="0" applyNumberFormat="1"/>
    <xf numFmtId="0" fontId="0" fillId="0" borderId="0" xfId="0" applyFill="1" applyBorder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0" applyNumberFormat="1" applyFont="1" applyFill="1" applyAlignment="1" applyProtection="1">
      <alignment vertical="top"/>
    </xf>
    <xf numFmtId="0" fontId="1" fillId="0" borderId="0" xfId="0" applyFont="1"/>
    <xf numFmtId="0" fontId="5" fillId="0" borderId="0" xfId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64" fontId="5" fillId="0" borderId="0" xfId="1" applyNumberFormat="1" applyFill="1" applyBorder="1"/>
    <xf numFmtId="11" fontId="0" fillId="0" borderId="0" xfId="0" applyNumberFormat="1" applyFill="1" applyBorder="1"/>
    <xf numFmtId="165" fontId="5" fillId="0" borderId="0" xfId="1" applyNumberFormat="1" applyFill="1" applyBorder="1"/>
    <xf numFmtId="164" fontId="0" fillId="2" borderId="0" xfId="0" applyNumberFormat="1" applyFont="1" applyFill="1" applyAlignment="1" applyProtection="1">
      <alignment horizontal="center" vertical="top"/>
      <protection locked="0"/>
    </xf>
    <xf numFmtId="2" fontId="0" fillId="2" borderId="0" xfId="0" applyNumberFormat="1" applyFont="1" applyFill="1" applyAlignment="1" applyProtection="1">
      <alignment horizontal="center" vertical="top"/>
      <protection locked="0"/>
    </xf>
    <xf numFmtId="2" fontId="0" fillId="3" borderId="0" xfId="0" applyNumberFormat="1" applyFont="1" applyFill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Protection="1"/>
    <xf numFmtId="2" fontId="0" fillId="7" borderId="0" xfId="0" applyNumberFormat="1" applyFill="1" applyProtection="1"/>
    <xf numFmtId="0" fontId="9" fillId="0" borderId="3" xfId="2" applyBorder="1" applyProtection="1"/>
    <xf numFmtId="0" fontId="0" fillId="0" borderId="0" xfId="0" applyFill="1" applyBorder="1" applyAlignment="1" applyProtection="1">
      <alignment horizontal="center" wrapText="1"/>
    </xf>
    <xf numFmtId="0" fontId="2" fillId="0" borderId="0" xfId="0" applyFont="1" applyBorder="1" applyAlignment="1">
      <alignment vertical="center" wrapText="1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mesteadlaboratory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tabSelected="1" zoomScale="85" zoomScaleNormal="85" workbookViewId="0">
      <selection activeCell="G3" sqref="G3"/>
    </sheetView>
  </sheetViews>
  <sheetFormatPr defaultRowHeight="14.5"/>
  <cols>
    <col min="1" max="1" width="22.1796875" customWidth="1"/>
    <col min="2" max="2" width="13.1796875" customWidth="1"/>
    <col min="3" max="4" width="10.7265625" customWidth="1"/>
    <col min="5" max="5" width="12.54296875" customWidth="1"/>
    <col min="6" max="6" width="32.26953125" customWidth="1"/>
    <col min="7" max="7" width="12" bestFit="1" customWidth="1"/>
    <col min="10" max="10" width="16.7265625" bestFit="1" customWidth="1"/>
    <col min="12" max="12" width="34.81640625" customWidth="1"/>
    <col min="13" max="13" width="12.7265625" bestFit="1" customWidth="1"/>
    <col min="15" max="15" width="19.26953125" customWidth="1"/>
    <col min="16" max="16" width="9.1796875" customWidth="1"/>
    <col min="21" max="21" width="12" bestFit="1" customWidth="1"/>
  </cols>
  <sheetData>
    <row r="1" spans="1:27">
      <c r="A1" s="1" t="s">
        <v>275</v>
      </c>
      <c r="B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7">
      <c r="A2" s="3" t="s">
        <v>0</v>
      </c>
      <c r="B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7">
      <c r="A3" s="2" t="s">
        <v>273</v>
      </c>
      <c r="B3" s="2"/>
      <c r="C3" s="57" t="s">
        <v>272</v>
      </c>
      <c r="D3" s="2"/>
      <c r="E3" s="2"/>
      <c r="F3" s="2"/>
      <c r="G3" s="2"/>
      <c r="H3" s="2"/>
      <c r="I3" s="2"/>
      <c r="J3" s="2"/>
      <c r="K3" s="37"/>
      <c r="L3" s="37"/>
      <c r="M3" s="39"/>
      <c r="N3" s="39"/>
      <c r="O3" s="39"/>
      <c r="P3" s="39"/>
      <c r="Q3" s="39"/>
      <c r="R3" s="39"/>
      <c r="S3" s="39"/>
      <c r="T3" s="39"/>
      <c r="U3" s="39"/>
    </row>
    <row r="4" spans="1:27">
      <c r="C4" s="2"/>
      <c r="D4" s="2"/>
      <c r="E4" s="2"/>
      <c r="F4" s="2"/>
      <c r="G4" s="2"/>
      <c r="H4" s="2"/>
      <c r="I4" s="2"/>
      <c r="J4" s="2"/>
      <c r="K4" s="37"/>
      <c r="L4" s="37"/>
      <c r="M4" s="39"/>
      <c r="N4" s="39"/>
      <c r="O4" s="39"/>
      <c r="P4" s="39"/>
      <c r="Q4" s="39"/>
      <c r="R4" s="39"/>
      <c r="S4" s="39"/>
      <c r="T4" s="39"/>
      <c r="U4" s="39"/>
    </row>
    <row r="5" spans="1:27">
      <c r="A5" s="3" t="s">
        <v>270</v>
      </c>
      <c r="B5" s="2"/>
      <c r="C5" s="2"/>
      <c r="D5" s="2"/>
      <c r="E5" s="2"/>
      <c r="F5" s="2"/>
      <c r="G5" s="2"/>
      <c r="H5" s="2"/>
      <c r="I5" s="2"/>
      <c r="J5" s="2"/>
      <c r="K5" s="37"/>
      <c r="L5" s="37"/>
      <c r="M5" s="43"/>
      <c r="N5" s="39"/>
      <c r="O5" s="39"/>
      <c r="P5" s="39"/>
      <c r="Q5" s="39"/>
      <c r="R5" s="39"/>
      <c r="S5" s="39"/>
      <c r="T5" s="39"/>
      <c r="U5" s="39"/>
      <c r="AA5" s="53" t="s">
        <v>171</v>
      </c>
    </row>
    <row r="6" spans="1:27">
      <c r="A6" s="3" t="s">
        <v>1</v>
      </c>
      <c r="B6" s="2"/>
      <c r="C6" s="2"/>
      <c r="D6" s="2"/>
      <c r="E6" s="2"/>
      <c r="F6" s="2"/>
      <c r="G6" s="2"/>
      <c r="H6" s="2"/>
      <c r="I6" s="2"/>
      <c r="J6" s="2"/>
      <c r="K6" s="37"/>
      <c r="L6" s="37"/>
      <c r="M6" s="44"/>
      <c r="N6" s="39"/>
      <c r="O6" s="39"/>
      <c r="P6" s="39"/>
      <c r="Q6" s="39"/>
      <c r="R6" s="39"/>
      <c r="S6" s="39"/>
      <c r="T6" s="39"/>
      <c r="U6" s="39"/>
      <c r="AA6" s="53" t="s">
        <v>60</v>
      </c>
    </row>
    <row r="7" spans="1:27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37"/>
      <c r="L7" s="39"/>
      <c r="M7" s="43"/>
      <c r="N7" s="39"/>
      <c r="O7" s="39"/>
      <c r="P7" s="39"/>
      <c r="Q7" s="39"/>
      <c r="R7" s="39"/>
      <c r="S7" s="39"/>
      <c r="T7" s="39"/>
      <c r="U7" s="39"/>
      <c r="AA7" s="53" t="s">
        <v>62</v>
      </c>
    </row>
    <row r="8" spans="1:27">
      <c r="A8" s="2"/>
      <c r="B8" s="2"/>
      <c r="C8" s="2"/>
      <c r="D8" s="2"/>
      <c r="E8" s="2"/>
      <c r="F8" s="2"/>
      <c r="G8" s="2"/>
      <c r="H8" s="2"/>
      <c r="I8" s="2"/>
      <c r="J8" s="2"/>
      <c r="K8" s="37"/>
      <c r="L8" s="39"/>
      <c r="M8" s="44"/>
      <c r="N8" s="39"/>
      <c r="O8" s="39"/>
      <c r="P8" s="39"/>
      <c r="Q8" s="39"/>
      <c r="R8" s="39"/>
      <c r="S8" s="39"/>
      <c r="T8" s="39"/>
      <c r="U8" s="39"/>
      <c r="AA8" s="53" t="s">
        <v>63</v>
      </c>
    </row>
    <row r="9" spans="1:27">
      <c r="A9" s="3" t="s">
        <v>3</v>
      </c>
      <c r="B9" s="2"/>
      <c r="C9" s="2"/>
      <c r="D9" s="2"/>
      <c r="E9" s="2"/>
      <c r="F9" s="2"/>
      <c r="G9" s="2"/>
      <c r="H9" s="2"/>
      <c r="I9" s="2"/>
      <c r="J9" s="2"/>
      <c r="K9" s="37"/>
      <c r="L9" s="37"/>
      <c r="M9" s="44"/>
      <c r="N9" s="39"/>
      <c r="O9" s="39"/>
      <c r="P9" s="39"/>
      <c r="Q9" s="39"/>
      <c r="R9" s="39"/>
      <c r="S9" s="39"/>
      <c r="T9" s="39"/>
      <c r="U9" s="39"/>
      <c r="AA9" s="53" t="s">
        <v>205</v>
      </c>
    </row>
    <row r="10" spans="1:27">
      <c r="A10" s="2"/>
      <c r="B10" s="3" t="s">
        <v>4</v>
      </c>
      <c r="D10" s="2"/>
      <c r="E10" s="3" t="s">
        <v>5</v>
      </c>
      <c r="F10" s="2"/>
      <c r="G10" s="2"/>
      <c r="H10" s="2"/>
      <c r="I10" s="2"/>
      <c r="J10" s="2"/>
      <c r="K10" s="37"/>
      <c r="L10" s="37"/>
      <c r="M10" s="45"/>
      <c r="N10" s="39"/>
      <c r="O10" s="39"/>
      <c r="P10" s="39"/>
      <c r="Q10" s="39"/>
      <c r="R10" s="39"/>
      <c r="S10" s="39"/>
      <c r="T10" s="39"/>
      <c r="U10" s="39"/>
      <c r="AA10" s="53" t="s">
        <v>209</v>
      </c>
    </row>
    <row r="11" spans="1:27">
      <c r="A11" s="2"/>
      <c r="B11" s="2"/>
      <c r="C11" s="2"/>
      <c r="D11" s="2"/>
      <c r="E11" s="2"/>
      <c r="F11" s="2"/>
      <c r="G11" s="2"/>
      <c r="H11" s="2"/>
      <c r="I11" s="2"/>
      <c r="J11" s="2"/>
      <c r="K11" s="37"/>
      <c r="L11" s="37"/>
      <c r="M11" s="46"/>
      <c r="N11" s="39"/>
      <c r="O11" s="39"/>
      <c r="P11" s="39"/>
      <c r="Q11" s="39"/>
      <c r="R11" s="39"/>
      <c r="S11" s="39"/>
      <c r="T11" s="39"/>
      <c r="U11" s="39"/>
      <c r="AA11" s="53" t="s">
        <v>98</v>
      </c>
    </row>
    <row r="12" spans="1:27">
      <c r="A12" s="3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37"/>
      <c r="L12" s="37"/>
      <c r="M12" s="45"/>
      <c r="N12" s="39"/>
      <c r="O12" s="39"/>
      <c r="P12" s="39"/>
      <c r="Q12" s="39"/>
      <c r="R12" s="39"/>
      <c r="S12" s="39"/>
      <c r="T12" s="39"/>
      <c r="U12" s="39"/>
      <c r="AA12" s="53" t="s">
        <v>122</v>
      </c>
    </row>
    <row r="13" spans="1:27">
      <c r="A13" s="2"/>
      <c r="B13" s="4" t="s">
        <v>7</v>
      </c>
      <c r="C13" s="2"/>
      <c r="D13" s="2"/>
      <c r="E13" s="2"/>
      <c r="F13" s="2"/>
      <c r="G13" s="2"/>
      <c r="H13" s="2"/>
      <c r="I13" s="2"/>
      <c r="J13" s="2"/>
      <c r="K13" s="37"/>
      <c r="L13" s="37"/>
      <c r="M13" s="45"/>
      <c r="N13" s="39"/>
      <c r="O13" s="39"/>
      <c r="P13" s="39"/>
      <c r="Q13" s="39"/>
      <c r="R13" s="39"/>
      <c r="S13" s="39"/>
      <c r="T13" s="39"/>
      <c r="U13" s="39"/>
      <c r="AA13" s="53" t="s">
        <v>128</v>
      </c>
    </row>
    <row r="14" spans="1:27" ht="16.5">
      <c r="A14" s="2"/>
      <c r="B14" s="2"/>
      <c r="C14" s="2"/>
      <c r="D14" s="2"/>
      <c r="E14" s="2"/>
      <c r="F14" s="2"/>
      <c r="G14" s="2"/>
      <c r="H14" s="2"/>
      <c r="I14" s="32" t="s">
        <v>269</v>
      </c>
      <c r="J14" s="2"/>
      <c r="K14" s="37"/>
      <c r="L14" s="37"/>
      <c r="M14" s="47"/>
      <c r="N14" s="39"/>
      <c r="O14" s="39"/>
      <c r="P14" s="39"/>
      <c r="Q14" s="39"/>
      <c r="R14" s="39"/>
      <c r="S14" s="39"/>
      <c r="T14" s="39"/>
      <c r="U14" s="39"/>
      <c r="AA14" s="53" t="s">
        <v>64</v>
      </c>
    </row>
    <row r="15" spans="1:27">
      <c r="A15" s="5" t="s">
        <v>8</v>
      </c>
      <c r="B15" s="52" t="s">
        <v>9</v>
      </c>
      <c r="C15" s="52" t="s">
        <v>10</v>
      </c>
      <c r="D15" s="52" t="s">
        <v>11</v>
      </c>
      <c r="E15" s="52" t="s">
        <v>260</v>
      </c>
      <c r="F15" s="2"/>
      <c r="G15" s="32" t="s">
        <v>259</v>
      </c>
      <c r="H15" s="2"/>
      <c r="I15" s="36">
        <f>1/0.0049511</f>
        <v>201.97531861606512</v>
      </c>
      <c r="K15" s="37"/>
      <c r="L15" s="37"/>
      <c r="M15" s="48"/>
      <c r="N15" s="39"/>
      <c r="O15" s="39"/>
      <c r="P15" s="39"/>
      <c r="Q15" s="39"/>
      <c r="R15" s="39"/>
      <c r="S15" s="39"/>
      <c r="T15" s="39"/>
      <c r="U15" s="39"/>
      <c r="AA15" s="53" t="s">
        <v>65</v>
      </c>
    </row>
    <row r="16" spans="1:27">
      <c r="A16" s="6" t="s">
        <v>248</v>
      </c>
      <c r="B16" s="49">
        <f>VLOOKUP(A16,DataTable!$A$4:$G$146,5,FALSE)</f>
        <v>94.5</v>
      </c>
      <c r="C16" s="49">
        <f>VLOOKUP(A16,DataTable!$A$4:$G$146,3,FALSE)*VLOOKUP(A16,DataTable!$A$4:$G$146,4,FALSE)</f>
        <v>0.748</v>
      </c>
      <c r="D16" s="49">
        <f>VLOOKUP(A16,DataTable!$A$4:$G$146,3,FALSE)</f>
        <v>0.93499999999999994</v>
      </c>
      <c r="E16" s="50">
        <v>175.67586744431026</v>
      </c>
      <c r="F16" s="8"/>
      <c r="G16" s="34">
        <f>E16/VLOOKUP(A16,DataTable!$A$4:$G$146,6,FALSE)*$I$15</f>
        <v>20.601342154068444</v>
      </c>
      <c r="H16" s="2"/>
      <c r="I16" s="2"/>
      <c r="J16" s="2"/>
      <c r="K16" s="37"/>
      <c r="L16" s="37"/>
      <c r="M16" s="45"/>
      <c r="N16" s="39"/>
      <c r="O16" s="39"/>
      <c r="P16" s="39"/>
      <c r="Q16" s="39"/>
      <c r="R16" s="39"/>
      <c r="S16" s="39"/>
      <c r="T16" s="39"/>
      <c r="U16" s="39"/>
      <c r="AA16" s="53" t="s">
        <v>72</v>
      </c>
    </row>
    <row r="17" spans="1:27" ht="15" customHeight="1">
      <c r="A17" s="6" t="s">
        <v>239</v>
      </c>
      <c r="B17" s="49">
        <f>VLOOKUP(A17,DataTable!$A$4:$G$145,5,FALSE)</f>
        <v>15</v>
      </c>
      <c r="C17" s="49">
        <f>VLOOKUP(A17,DataTable!$A$4:$G$145,3,FALSE)*VLOOKUP(A17,DataTable!$A$4:$G$145,4,FALSE)</f>
        <v>48.6</v>
      </c>
      <c r="D17" s="49">
        <f>VLOOKUP(A17,DataTable!$A$4:$G$145,3,FALSE)</f>
        <v>0.9</v>
      </c>
      <c r="E17" s="51">
        <v>162.22479339767341</v>
      </c>
      <c r="F17" s="8" t="s">
        <v>12</v>
      </c>
      <c r="G17" s="34">
        <f>E17/VLOOKUP(A17,DataTable!$A$4:$G$146,6,FALSE)*$I$15</f>
        <v>163.82702166960212</v>
      </c>
      <c r="H17" s="2"/>
      <c r="J17" s="55" t="s">
        <v>268</v>
      </c>
      <c r="K17" s="56">
        <f>(E21-C26)^2+(E22-C27)^2+(E23-C28)^2</f>
        <v>1.4314289342658332E-11</v>
      </c>
      <c r="L17" s="58" t="s">
        <v>271</v>
      </c>
      <c r="M17" s="45"/>
      <c r="N17" s="39"/>
      <c r="O17" s="39"/>
      <c r="P17" s="39"/>
      <c r="Q17" s="39"/>
      <c r="R17" s="39"/>
      <c r="S17" s="39"/>
      <c r="T17" s="39"/>
      <c r="U17" s="39"/>
      <c r="AA17" s="53" t="s">
        <v>174</v>
      </c>
    </row>
    <row r="18" spans="1:27">
      <c r="A18" s="6" t="s">
        <v>160</v>
      </c>
      <c r="B18" s="49">
        <f>VLOOKUP(A18,DataTable!$A$4:$G$145,5,FALSE)</f>
        <v>69</v>
      </c>
      <c r="C18" s="49">
        <f>VLOOKUP(A18,DataTable!$A$4:$G$145,3,FALSE)*VLOOKUP(A18,DataTable!$A$4:$G$145,4,FALSE)</f>
        <v>36</v>
      </c>
      <c r="D18" s="49">
        <f>VLOOKUP(A18,DataTable!$A$4:$G$145,3,FALSE)</f>
        <v>2.4</v>
      </c>
      <c r="E18" s="51">
        <v>137.69961169914427</v>
      </c>
      <c r="F18" s="8" t="s">
        <v>13</v>
      </c>
      <c r="G18" s="34">
        <f>E18/VLOOKUP(A18,DataTable!$A$4:$G$146,6,FALSE)*$I$15</f>
        <v>17.546954540216475</v>
      </c>
      <c r="H18" s="2"/>
      <c r="I18" s="2"/>
      <c r="J18" s="2"/>
      <c r="K18" s="37"/>
      <c r="L18" s="58"/>
      <c r="M18" s="47"/>
      <c r="N18" s="39"/>
      <c r="O18" s="39"/>
      <c r="P18" s="39"/>
      <c r="Q18" s="39"/>
      <c r="R18" s="39"/>
      <c r="S18" s="39"/>
      <c r="T18" s="39"/>
      <c r="U18" s="39"/>
      <c r="AA18" s="53" t="s">
        <v>74</v>
      </c>
    </row>
    <row r="19" spans="1:27">
      <c r="A19" s="6" t="s">
        <v>254</v>
      </c>
      <c r="B19" s="49">
        <f>VLOOKUP(A19,DataTable!$A$4:$G$145,5,FALSE)</f>
        <v>100</v>
      </c>
      <c r="C19" s="49">
        <f>VLOOKUP(A19,DataTable!$A$4:$G$145,3,FALSE)*VLOOKUP(A19,DataTable!$A$4:$G$145,4,FALSE)</f>
        <v>0</v>
      </c>
      <c r="D19" s="49">
        <f>VLOOKUP(A19,DataTable!$A$4:$G$145,3,FALSE)</f>
        <v>0</v>
      </c>
      <c r="E19" s="51">
        <v>0</v>
      </c>
      <c r="F19" s="8" t="s">
        <v>14</v>
      </c>
      <c r="G19" s="34">
        <f>E19/VLOOKUP(A19,DataTable!$A$4:$G$146,6,FALSE)*$I$15</f>
        <v>0</v>
      </c>
      <c r="H19" s="2"/>
      <c r="I19" s="2"/>
      <c r="K19" s="39"/>
      <c r="L19" s="58"/>
      <c r="M19" s="39"/>
      <c r="N19" s="39"/>
      <c r="O19" s="39"/>
      <c r="P19" s="39"/>
      <c r="Q19" s="39"/>
      <c r="R19" s="39"/>
      <c r="S19" s="39"/>
      <c r="T19" s="39"/>
      <c r="U19" s="39"/>
      <c r="AA19" s="53" t="s">
        <v>210</v>
      </c>
    </row>
    <row r="20" spans="1:27">
      <c r="A20" s="2"/>
      <c r="B20" s="8"/>
      <c r="C20" s="8"/>
      <c r="D20" s="8"/>
      <c r="E20" s="8"/>
      <c r="F20" s="2"/>
      <c r="G20" s="2"/>
      <c r="H20" s="2"/>
      <c r="I20" s="2"/>
      <c r="K20" s="39"/>
      <c r="L20" s="58"/>
      <c r="M20" s="39"/>
      <c r="N20" s="39"/>
      <c r="O20" s="39"/>
      <c r="P20" s="39"/>
      <c r="Q20" s="39"/>
      <c r="R20" s="39"/>
      <c r="S20" s="39"/>
      <c r="T20" s="39"/>
      <c r="U20" s="39"/>
      <c r="Z20" s="42" t="s">
        <v>264</v>
      </c>
      <c r="AA20" s="53" t="s">
        <v>103</v>
      </c>
    </row>
    <row r="21" spans="1:27">
      <c r="C21" s="8"/>
      <c r="D21" s="9" t="s">
        <v>15</v>
      </c>
      <c r="E21" s="10">
        <f>(E16*B16+E17*B17+E18*B18+E19*B19)/(E16+E17+E18+E19)</f>
        <v>59.99999627675929</v>
      </c>
      <c r="F21" s="8" t="s">
        <v>16</v>
      </c>
      <c r="G21" s="2"/>
      <c r="H21" s="2"/>
      <c r="I21" s="2"/>
      <c r="K21" s="39"/>
      <c r="L21" s="37"/>
      <c r="M21" s="39"/>
      <c r="N21" s="39"/>
      <c r="O21" s="39"/>
      <c r="P21" s="39"/>
      <c r="Q21" s="39"/>
      <c r="R21" s="39"/>
      <c r="S21" s="39"/>
      <c r="T21" s="39"/>
      <c r="U21" s="39"/>
      <c r="Z21" s="42" t="s">
        <v>265</v>
      </c>
      <c r="AA21" s="53" t="s">
        <v>249</v>
      </c>
    </row>
    <row r="22" spans="1:27">
      <c r="C22" s="8"/>
      <c r="D22" s="9" t="s">
        <v>17</v>
      </c>
      <c r="E22" s="10">
        <f>(E16*C16*(100-B16)+E17*C17*(100-B17)+E18*C18*(100-B18)+E19*C19*(100-B19))/(E16*D16*(100-B16)+E17*D17*(100-B17)+E18*D18*(100-B18)+E19*D19*(100-B19))</f>
        <v>34.99999937696375</v>
      </c>
      <c r="F22" s="8" t="s">
        <v>16</v>
      </c>
      <c r="G22" s="2"/>
      <c r="H22" s="2"/>
      <c r="I22" s="2"/>
      <c r="J22" s="2"/>
      <c r="K22" s="39"/>
      <c r="L22" s="37"/>
      <c r="M22" s="39"/>
      <c r="N22" s="39"/>
      <c r="O22" s="39"/>
      <c r="P22" s="39"/>
      <c r="Q22" s="39"/>
      <c r="R22" s="39"/>
      <c r="S22" s="39"/>
      <c r="T22" s="39"/>
      <c r="U22" s="39"/>
      <c r="Z22" s="42"/>
      <c r="AA22" s="53" t="s">
        <v>77</v>
      </c>
    </row>
    <row r="23" spans="1:27">
      <c r="A23" s="2"/>
      <c r="B23" s="2"/>
      <c r="C23" s="2"/>
      <c r="D23" s="11" t="s">
        <v>262</v>
      </c>
      <c r="E23" s="10">
        <f>SUM(G16:G19)</f>
        <v>201.97531836388703</v>
      </c>
      <c r="F23" s="8" t="s">
        <v>274</v>
      </c>
      <c r="G23" s="2"/>
      <c r="H23" s="2"/>
      <c r="I23" s="2"/>
      <c r="K23" s="37"/>
      <c r="L23" s="37"/>
      <c r="M23" s="48"/>
      <c r="N23" s="39"/>
      <c r="O23" s="39"/>
      <c r="P23" s="39"/>
      <c r="Q23" s="39"/>
      <c r="R23" s="39"/>
      <c r="S23" s="39"/>
      <c r="T23" s="39"/>
      <c r="U23" s="39"/>
      <c r="Z23" s="42" t="s">
        <v>266</v>
      </c>
      <c r="AA23" s="53" t="s">
        <v>130</v>
      </c>
    </row>
    <row r="24" spans="1:27">
      <c r="K24" s="37"/>
      <c r="L24" s="37"/>
      <c r="M24" s="47"/>
      <c r="N24" s="39"/>
      <c r="O24" s="39"/>
      <c r="P24" s="39"/>
      <c r="Q24" s="39"/>
      <c r="R24" s="39"/>
      <c r="S24" s="39"/>
      <c r="T24" s="39"/>
      <c r="U24" s="39"/>
      <c r="Z24" s="42" t="s">
        <v>267</v>
      </c>
      <c r="AA24" s="53" t="s">
        <v>129</v>
      </c>
    </row>
    <row r="25" spans="1:27">
      <c r="A25" s="3" t="s">
        <v>18</v>
      </c>
      <c r="B25" s="8"/>
      <c r="C25" s="8"/>
      <c r="D25" s="8"/>
      <c r="E25" s="8"/>
      <c r="F25" s="2"/>
      <c r="G25" s="2"/>
      <c r="H25" s="2"/>
      <c r="I25" s="2"/>
      <c r="J25" s="2"/>
      <c r="K25" s="37"/>
      <c r="L25" s="37"/>
      <c r="M25" s="39"/>
      <c r="N25" s="39"/>
      <c r="O25" s="39"/>
      <c r="P25" s="39"/>
      <c r="Q25" s="39"/>
      <c r="R25" s="39"/>
      <c r="S25" s="39"/>
      <c r="T25" s="39"/>
      <c r="U25" s="39"/>
      <c r="AA25" s="53" t="s">
        <v>172</v>
      </c>
    </row>
    <row r="26" spans="1:27">
      <c r="B26" s="11" t="s">
        <v>19</v>
      </c>
      <c r="C26" s="7">
        <v>60</v>
      </c>
      <c r="D26" s="3" t="s">
        <v>20</v>
      </c>
      <c r="E26" s="2"/>
      <c r="F26" s="8"/>
      <c r="G26" s="2"/>
      <c r="H26" s="2"/>
      <c r="I26" s="2"/>
      <c r="J26" s="2"/>
      <c r="K26" s="37"/>
      <c r="L26" s="37"/>
      <c r="M26" s="44"/>
      <c r="N26" s="39"/>
      <c r="O26" s="39"/>
      <c r="P26" s="39"/>
      <c r="Q26" s="39"/>
      <c r="R26" s="39"/>
      <c r="S26" s="39"/>
      <c r="T26" s="39"/>
      <c r="U26" s="39"/>
      <c r="AA26" s="53" t="s">
        <v>110</v>
      </c>
    </row>
    <row r="27" spans="1:27">
      <c r="B27" s="11" t="s">
        <v>21</v>
      </c>
      <c r="C27" s="7">
        <v>35</v>
      </c>
      <c r="D27" s="8"/>
      <c r="E27" s="8"/>
      <c r="F27" s="8"/>
      <c r="G27" s="2"/>
      <c r="H27" s="2"/>
      <c r="I27" s="2"/>
      <c r="J27" s="2"/>
      <c r="K27" s="39"/>
      <c r="L27" s="37"/>
      <c r="M27" s="39"/>
      <c r="N27" s="39"/>
      <c r="O27" s="39"/>
      <c r="P27" s="39"/>
      <c r="Q27" s="39"/>
      <c r="R27" s="39"/>
      <c r="S27" s="39"/>
      <c r="T27" s="39"/>
      <c r="U27" s="39"/>
      <c r="AA27" s="53" t="s">
        <v>104</v>
      </c>
    </row>
    <row r="28" spans="1:27">
      <c r="A28" s="2"/>
      <c r="B28" s="11" t="s">
        <v>261</v>
      </c>
      <c r="C28" s="33">
        <f>I15</f>
        <v>201.97531861606512</v>
      </c>
      <c r="D28" s="8"/>
      <c r="E28" s="8"/>
      <c r="F28" s="2"/>
      <c r="G28" s="2"/>
      <c r="H28" s="2"/>
      <c r="I28" s="2"/>
      <c r="J28" s="2"/>
      <c r="K28" s="39"/>
      <c r="L28" s="37"/>
      <c r="M28" s="43"/>
      <c r="N28" s="39"/>
      <c r="O28" s="39"/>
      <c r="P28" s="39"/>
      <c r="Q28" s="39"/>
      <c r="R28" s="39"/>
      <c r="S28" s="39"/>
      <c r="T28" s="39"/>
      <c r="U28" s="39"/>
      <c r="AA28" s="53" t="s">
        <v>105</v>
      </c>
    </row>
    <row r="29" spans="1:27">
      <c r="A29" s="2"/>
      <c r="B29" s="11"/>
      <c r="C29" s="41"/>
      <c r="D29" s="8"/>
      <c r="E29" s="8"/>
      <c r="F29" s="2"/>
      <c r="G29" s="2"/>
      <c r="H29" s="2"/>
      <c r="I29" s="2"/>
      <c r="J29" s="2"/>
      <c r="K29" s="39"/>
      <c r="L29" s="37"/>
      <c r="M29" s="47"/>
      <c r="N29" s="39"/>
      <c r="O29" s="39"/>
      <c r="P29" s="39"/>
      <c r="Q29" s="39"/>
      <c r="R29" s="39"/>
      <c r="S29" s="39"/>
      <c r="T29" s="39"/>
      <c r="U29" s="39"/>
      <c r="AA29" s="53" t="s">
        <v>83</v>
      </c>
    </row>
    <row r="30" spans="1:27">
      <c r="A30" s="2"/>
      <c r="B30" s="8"/>
      <c r="C30" s="8"/>
      <c r="D30" s="8"/>
      <c r="E30" s="11" t="s">
        <v>22</v>
      </c>
      <c r="F30" s="8" t="str">
        <f>A18</f>
        <v>Garbage (food waste)</v>
      </c>
      <c r="G30" s="2"/>
      <c r="H30" s="2"/>
      <c r="I30" s="2"/>
      <c r="J30" s="2"/>
      <c r="K30" s="39"/>
      <c r="L30" s="37"/>
      <c r="M30" s="47"/>
      <c r="N30" s="39"/>
      <c r="O30" s="39"/>
      <c r="P30" s="39"/>
      <c r="Q30" s="39"/>
      <c r="R30" s="39"/>
      <c r="S30" s="39"/>
      <c r="T30" s="39"/>
      <c r="U30" s="39"/>
      <c r="AA30" s="53" t="s">
        <v>160</v>
      </c>
    </row>
    <row r="31" spans="1:27">
      <c r="A31" s="2"/>
      <c r="B31" s="8"/>
      <c r="C31" s="8"/>
      <c r="D31" s="8"/>
      <c r="E31" s="11"/>
      <c r="F31" s="2"/>
      <c r="G31" s="2"/>
      <c r="H31" s="2"/>
      <c r="I31" s="2"/>
      <c r="J31" s="2"/>
      <c r="K31" s="37"/>
      <c r="L31" s="37"/>
      <c r="M31" s="39"/>
      <c r="N31" s="39"/>
      <c r="O31" s="39"/>
      <c r="P31" s="39"/>
      <c r="Q31" s="39"/>
      <c r="R31" s="39"/>
      <c r="S31" s="39"/>
      <c r="T31" s="39"/>
      <c r="U31" s="39"/>
      <c r="AA31" s="53" t="s">
        <v>253</v>
      </c>
    </row>
    <row r="32" spans="1:27">
      <c r="A32" s="2"/>
      <c r="B32" s="2"/>
      <c r="D32" s="8"/>
      <c r="E32" s="9" t="s">
        <v>23</v>
      </c>
      <c r="F32" s="12">
        <f>(C26*E16+C26*E17-B16*E16-B17*E17)/(B18-C26)</f>
        <v>137.69980845184443</v>
      </c>
      <c r="G32" s="2"/>
      <c r="H32" s="2"/>
      <c r="I32" s="2"/>
      <c r="J32" s="38"/>
      <c r="K32" s="37"/>
      <c r="L32" s="37"/>
      <c r="M32" s="39"/>
      <c r="N32" s="39"/>
      <c r="O32" s="39"/>
      <c r="P32" s="39"/>
      <c r="Q32" s="39"/>
      <c r="R32" s="39"/>
      <c r="S32" s="39"/>
      <c r="T32" s="39"/>
      <c r="U32" s="39"/>
      <c r="AA32" s="53" t="s">
        <v>252</v>
      </c>
    </row>
    <row r="33" spans="1:27">
      <c r="A33" s="2"/>
      <c r="B33" s="8"/>
      <c r="D33" s="8"/>
      <c r="E33" s="13"/>
      <c r="F33" s="8"/>
      <c r="G33" s="2"/>
      <c r="H33" s="2"/>
      <c r="I33" s="2"/>
      <c r="J33" s="37"/>
      <c r="K33" s="37"/>
      <c r="L33" s="37"/>
      <c r="M33" s="39"/>
      <c r="N33" s="40"/>
      <c r="O33" s="39"/>
      <c r="P33" s="39"/>
      <c r="Q33" s="39"/>
      <c r="R33" s="39"/>
      <c r="S33" s="39"/>
      <c r="T33" s="39"/>
      <c r="U33" s="39"/>
      <c r="AA33" s="53" t="s">
        <v>250</v>
      </c>
    </row>
    <row r="34" spans="1:27">
      <c r="A34" s="2"/>
      <c r="B34" s="2"/>
      <c r="D34" s="8"/>
      <c r="E34" s="9" t="s">
        <v>24</v>
      </c>
      <c r="F34" s="12">
        <f>(C27*E16*D16*(100-B16)+C27*E17*D17*(100-B17)-E16*C16*(100-B16)-E17*C17*(100-B17))/(C18*(100-B18)-C27*D18*(100-B18))</f>
        <v>137.69960183504801</v>
      </c>
      <c r="G34" s="2"/>
      <c r="H34" s="2"/>
      <c r="I34" s="2"/>
      <c r="J34" s="37"/>
      <c r="K34" s="2"/>
      <c r="L34" s="2"/>
      <c r="N34" s="31"/>
      <c r="O34" s="31"/>
      <c r="AA34" s="53" t="s">
        <v>179</v>
      </c>
    </row>
    <row r="35" spans="1:27">
      <c r="A35" s="2"/>
      <c r="B35" s="2"/>
      <c r="C35" s="2"/>
      <c r="D35" s="2"/>
      <c r="E35" s="13"/>
      <c r="F35" s="2"/>
      <c r="G35" s="2"/>
      <c r="H35" s="2"/>
      <c r="I35" s="2"/>
      <c r="J35" s="2"/>
      <c r="K35" s="2"/>
      <c r="L35" s="2"/>
      <c r="N35" s="31"/>
      <c r="O35" s="31"/>
      <c r="AA35" s="53" t="s">
        <v>183</v>
      </c>
    </row>
    <row r="36" spans="1:27">
      <c r="A36" s="3" t="s">
        <v>25</v>
      </c>
      <c r="B36" s="2"/>
      <c r="C36" s="2"/>
      <c r="D36" s="2"/>
      <c r="E36" s="13"/>
      <c r="F36" s="2"/>
      <c r="G36" s="2"/>
      <c r="H36" s="2"/>
      <c r="I36" s="2"/>
      <c r="J36" s="2"/>
      <c r="K36" s="2"/>
      <c r="L36" s="2"/>
      <c r="N36" s="31"/>
      <c r="O36" s="31"/>
      <c r="AA36" s="53" t="s">
        <v>186</v>
      </c>
    </row>
    <row r="37" spans="1:27">
      <c r="A37" s="3" t="s">
        <v>26</v>
      </c>
      <c r="B37" s="2"/>
      <c r="C37" s="2"/>
      <c r="D37" s="2"/>
      <c r="E37" s="13"/>
      <c r="F37" s="2"/>
      <c r="G37" s="2"/>
      <c r="H37" s="2"/>
      <c r="I37" s="2"/>
      <c r="J37" s="2"/>
      <c r="K37" s="2"/>
      <c r="L37" s="2"/>
      <c r="N37" s="31"/>
      <c r="O37" s="31"/>
      <c r="AA37" s="53" t="s">
        <v>136</v>
      </c>
    </row>
    <row r="38" spans="1:27">
      <c r="A38" s="2"/>
      <c r="B38" s="2"/>
      <c r="C38" s="2"/>
      <c r="D38" s="2"/>
      <c r="E38" s="11" t="s">
        <v>27</v>
      </c>
      <c r="F38" s="3" t="str">
        <f>A19</f>
        <v>Water</v>
      </c>
      <c r="G38" s="2"/>
      <c r="H38" s="2"/>
      <c r="I38" s="2"/>
      <c r="J38" s="2"/>
      <c r="K38" s="2"/>
      <c r="L38" s="2"/>
      <c r="N38" s="31"/>
      <c r="O38" s="31"/>
      <c r="AA38" s="53" t="s">
        <v>141</v>
      </c>
    </row>
    <row r="39" spans="1:27">
      <c r="A39" s="2"/>
      <c r="B39" s="2"/>
      <c r="C39" s="2"/>
      <c r="D39" s="2"/>
      <c r="E39" s="13"/>
      <c r="F39" s="2"/>
      <c r="G39" s="2"/>
      <c r="H39" s="2"/>
      <c r="I39" s="2"/>
      <c r="J39" s="2"/>
      <c r="K39" s="2"/>
      <c r="L39" s="2"/>
      <c r="N39" s="31"/>
      <c r="O39" s="31"/>
      <c r="AA39" s="53" t="s">
        <v>147</v>
      </c>
    </row>
    <row r="40" spans="1:27">
      <c r="A40" s="2"/>
      <c r="B40" s="2"/>
      <c r="D40" s="2"/>
      <c r="E40" s="9" t="s">
        <v>23</v>
      </c>
      <c r="F40" s="12">
        <f>(C26*E16+C26*E17+C26*E18-B16*E16-B17*E17-B18*E18)/(B19-C26)</f>
        <v>4.4269357567827682E-5</v>
      </c>
      <c r="G40" s="2"/>
      <c r="H40" s="2"/>
      <c r="I40" s="2"/>
      <c r="J40" s="2"/>
      <c r="K40" s="2"/>
      <c r="L40" s="2"/>
      <c r="N40" s="31"/>
      <c r="O40" s="31"/>
      <c r="AA40" s="53" t="s">
        <v>240</v>
      </c>
    </row>
    <row r="41" spans="1:27">
      <c r="A41" s="2"/>
      <c r="B41" s="2"/>
      <c r="D41" s="2"/>
      <c r="E41" s="13"/>
      <c r="F41" s="14"/>
      <c r="G41" s="2"/>
      <c r="H41" s="2"/>
      <c r="I41" s="2"/>
      <c r="J41" s="2"/>
      <c r="K41" s="2"/>
      <c r="L41" s="2"/>
      <c r="N41" s="31"/>
      <c r="O41" s="31"/>
      <c r="AA41" s="53" t="s">
        <v>239</v>
      </c>
    </row>
    <row r="42" spans="1:27">
      <c r="A42" s="2"/>
      <c r="B42" s="2"/>
      <c r="D42" s="2"/>
      <c r="E42" s="9" t="s">
        <v>24</v>
      </c>
      <c r="F42" s="12" t="e">
        <f>(C27*E16*D16*(100-B16)+C27*E17*D17*(100-B17)+C27*E18*D18*(100-B18)-E16*C16*(100-B16)-E17*C17*(100-B17)-E18*C18*(100-B18))/(C19*(100-B19)-C27*D19*(100-B19))</f>
        <v>#DIV/0!</v>
      </c>
      <c r="G42" s="2"/>
      <c r="H42" s="2"/>
      <c r="I42" s="2"/>
      <c r="J42" s="2"/>
      <c r="K42" s="2"/>
      <c r="L42" s="2"/>
      <c r="N42" s="31"/>
      <c r="O42" s="31"/>
      <c r="AA42" s="53" t="s">
        <v>211</v>
      </c>
    </row>
    <row r="43" spans="1:27">
      <c r="A43" s="2"/>
      <c r="B43" s="2"/>
      <c r="C43" s="2"/>
      <c r="D43" s="2"/>
      <c r="E43" s="14"/>
      <c r="F43" s="2"/>
      <c r="G43" s="2"/>
      <c r="H43" s="2"/>
      <c r="I43" s="2"/>
      <c r="J43" s="2"/>
      <c r="K43" s="2"/>
      <c r="L43" s="2"/>
      <c r="N43" s="31"/>
      <c r="O43" s="31"/>
      <c r="AA43" s="53" t="s">
        <v>112</v>
      </c>
    </row>
    <row r="44" spans="1:27">
      <c r="A44" s="2"/>
      <c r="B44" s="3" t="s">
        <v>28</v>
      </c>
      <c r="C44" s="2"/>
      <c r="D44" s="2"/>
      <c r="E44" s="14"/>
      <c r="F44" s="2"/>
      <c r="G44" s="2"/>
      <c r="H44" s="2"/>
      <c r="I44" s="2"/>
      <c r="J44" s="2"/>
      <c r="K44" s="2"/>
      <c r="L44" s="2"/>
      <c r="N44" s="31"/>
      <c r="O44" s="31"/>
      <c r="AA44" s="53" t="s">
        <v>212</v>
      </c>
    </row>
    <row r="45" spans="1:27">
      <c r="A45" s="2"/>
      <c r="B45" s="3" t="s">
        <v>29</v>
      </c>
      <c r="C45" s="2"/>
      <c r="D45" s="2"/>
      <c r="E45" s="14"/>
      <c r="F45" s="2"/>
      <c r="G45" s="2"/>
      <c r="H45" s="2"/>
      <c r="I45" s="2"/>
      <c r="J45" s="2"/>
      <c r="K45" s="2"/>
      <c r="L45" s="2"/>
      <c r="N45" s="31"/>
      <c r="O45" s="31"/>
      <c r="AA45" s="53" t="s">
        <v>84</v>
      </c>
    </row>
    <row r="46" spans="1:27">
      <c r="A46" s="2"/>
      <c r="B46" s="3" t="s">
        <v>30</v>
      </c>
      <c r="C46" s="2"/>
      <c r="D46" s="2"/>
      <c r="E46" s="14"/>
      <c r="F46" s="2"/>
      <c r="G46" s="2"/>
      <c r="H46" s="2"/>
      <c r="I46" s="2"/>
      <c r="J46" s="2"/>
      <c r="K46" s="2"/>
      <c r="L46" s="2"/>
      <c r="N46" s="31"/>
      <c r="O46" s="31"/>
      <c r="AA46" s="53" t="s">
        <v>162</v>
      </c>
    </row>
    <row r="47" spans="1:27">
      <c r="A47" s="2"/>
      <c r="B47" s="2"/>
      <c r="C47" s="2"/>
      <c r="D47" s="2"/>
      <c r="E47" s="14"/>
      <c r="F47" s="2"/>
      <c r="G47" s="2"/>
      <c r="H47" s="2"/>
      <c r="I47" s="2"/>
      <c r="J47" s="2"/>
      <c r="K47" s="2"/>
      <c r="L47" s="2"/>
      <c r="N47" s="31"/>
      <c r="O47" s="31"/>
      <c r="AA47" s="53" t="s">
        <v>214</v>
      </c>
    </row>
    <row r="48" spans="1:27">
      <c r="A48" s="3" t="s">
        <v>31</v>
      </c>
      <c r="B48" s="2"/>
      <c r="C48" s="2"/>
      <c r="D48" s="2"/>
      <c r="E48" s="14"/>
      <c r="F48" s="2"/>
      <c r="G48" s="2"/>
      <c r="H48" s="2"/>
      <c r="I48" s="2"/>
      <c r="J48" s="2"/>
      <c r="K48" s="2"/>
      <c r="L48" s="2"/>
      <c r="N48" s="31"/>
      <c r="O48" s="31"/>
      <c r="AA48" s="53" t="s">
        <v>215</v>
      </c>
    </row>
    <row r="49" spans="1:27">
      <c r="A49" s="3" t="s">
        <v>32</v>
      </c>
      <c r="B49" s="2"/>
      <c r="C49" s="2"/>
      <c r="D49" s="2"/>
      <c r="E49" s="14"/>
      <c r="F49" s="2"/>
      <c r="G49" s="2"/>
      <c r="H49" s="2"/>
      <c r="I49" s="2"/>
      <c r="J49" s="2"/>
      <c r="K49" s="2"/>
      <c r="L49" s="2"/>
      <c r="N49" s="31"/>
      <c r="O49" s="31"/>
      <c r="AA49" s="53" t="s">
        <v>114</v>
      </c>
    </row>
    <row r="50" spans="1:27">
      <c r="A50" s="2"/>
      <c r="B50" s="2"/>
      <c r="C50" s="2"/>
      <c r="D50" s="2"/>
      <c r="E50" s="15" t="s">
        <v>33</v>
      </c>
      <c r="F50" s="8" t="str">
        <f>A17</f>
        <v>Leaves, Loose and dry</v>
      </c>
      <c r="G50" s="2"/>
      <c r="H50" s="2"/>
      <c r="I50" s="2"/>
      <c r="J50" s="2"/>
      <c r="K50" s="2"/>
      <c r="L50" s="2"/>
      <c r="N50" s="31"/>
      <c r="O50" s="31"/>
      <c r="AA50" s="53" t="s">
        <v>85</v>
      </c>
    </row>
    <row r="51" spans="1:27">
      <c r="A51" s="2"/>
      <c r="B51" s="2"/>
      <c r="C51" s="2"/>
      <c r="D51" s="2"/>
      <c r="F51" s="12">
        <f>-(-B16*C18*(100-B18)+B16*C27*D18*(100-B18)+B18*C16*(100-B16)-C27*D18*(100-B18)*C26+C27*D16*(100-B16)*C26-C16*(100-B16)*C26+C18*(100-B18)*C26-B18*C27*D16*(100-B16))*E16/(C27*D17*(100-B17)*C26-C27*D17*(100-B17)*B18-C27*D18*(100-B18)*C26+C27*D18*(100-B18)*B17-C17*(100-B17)*C26+C17*(100-B17)*B18+C18*(100-B18)*C26-C18*(100-B18)*B17)</f>
        <v>162.22474204115579</v>
      </c>
      <c r="G51" s="2"/>
      <c r="H51" s="2"/>
      <c r="I51" s="2"/>
      <c r="J51" s="2"/>
      <c r="K51" s="2"/>
      <c r="L51" s="2"/>
      <c r="N51" s="31"/>
      <c r="O51" s="31"/>
      <c r="AA51" s="53" t="s">
        <v>113</v>
      </c>
    </row>
    <row r="52" spans="1:27">
      <c r="A52" s="2"/>
      <c r="B52" s="2"/>
      <c r="C52" s="2"/>
      <c r="D52" s="2"/>
      <c r="F52" s="14"/>
      <c r="G52" s="2"/>
      <c r="H52" s="2"/>
      <c r="I52" s="2"/>
      <c r="J52" s="2"/>
      <c r="K52" s="2"/>
      <c r="L52" s="2"/>
      <c r="N52" s="31"/>
      <c r="O52" s="31"/>
      <c r="AA52" s="53" t="s">
        <v>91</v>
      </c>
    </row>
    <row r="53" spans="1:27">
      <c r="A53" s="2"/>
      <c r="B53" s="2"/>
      <c r="C53" s="2"/>
      <c r="D53" s="2"/>
      <c r="E53" s="15" t="s">
        <v>22</v>
      </c>
      <c r="F53" t="str">
        <f>A18</f>
        <v>Garbage (food waste)</v>
      </c>
      <c r="G53" s="2"/>
      <c r="H53" s="2"/>
      <c r="I53" s="2"/>
      <c r="J53" s="2"/>
      <c r="K53" s="2"/>
      <c r="L53" s="2"/>
      <c r="N53" s="31"/>
      <c r="O53" s="31"/>
      <c r="AA53" s="53" t="s">
        <v>221</v>
      </c>
    </row>
    <row r="54" spans="1:27">
      <c r="A54" s="2"/>
      <c r="B54" s="2"/>
      <c r="C54" s="2"/>
      <c r="D54" s="2"/>
      <c r="F54" s="12">
        <f>-E16*(-C27*D16*(100-B16)*C26+C27*D16*(100-B16)*B17+C27*D17*(100-B17)*C26-C27*D17*(100-B17)*B16+C16*(100-B16)*C26-C16*(100-B16)*B17-C17*(100-B17)*C26+C17*(100-B17)*B16)/(C27*D17*(100-B17)*C26-C27*D17*(100-B17)*B18-C27*D18*(100-B18)*C26+C27*D18*(100-B18)*B17-C17*(100-B17)*C26+C17*(100-B17)*B18+C18*(100-B18)*C26-C18*(100-B18)*B17)</f>
        <v>137.69955166925604</v>
      </c>
      <c r="G54" s="2"/>
      <c r="H54" s="2"/>
      <c r="I54" s="2"/>
      <c r="J54" s="2"/>
      <c r="K54" s="2"/>
      <c r="L54" s="2"/>
      <c r="N54" s="31"/>
      <c r="O54" s="31"/>
      <c r="AA54" s="53" t="s">
        <v>244</v>
      </c>
    </row>
    <row r="55" spans="1:2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31"/>
      <c r="O55" s="31"/>
      <c r="AA55" s="53" t="s">
        <v>152</v>
      </c>
    </row>
    <row r="56" spans="1:27">
      <c r="A56" s="2"/>
      <c r="B56" s="3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  <c r="N56" s="31"/>
      <c r="O56" s="31"/>
      <c r="AA56" s="53" t="s">
        <v>115</v>
      </c>
    </row>
    <row r="57" spans="1:27">
      <c r="A57" s="2"/>
      <c r="B57" s="3" t="s">
        <v>35</v>
      </c>
      <c r="C57" s="2"/>
      <c r="D57" s="2"/>
      <c r="E57" s="2"/>
      <c r="F57" s="2"/>
      <c r="G57" s="2"/>
      <c r="H57" s="2"/>
      <c r="I57" s="2"/>
      <c r="J57" s="2"/>
      <c r="K57" s="2"/>
      <c r="L57" s="2"/>
      <c r="N57" s="31"/>
      <c r="O57" s="31"/>
      <c r="AA57" s="53" t="s">
        <v>245</v>
      </c>
    </row>
    <row r="58" spans="1:27">
      <c r="A58" s="2"/>
      <c r="B58" s="3" t="s">
        <v>36</v>
      </c>
      <c r="C58" s="2"/>
      <c r="D58" s="2"/>
      <c r="E58" s="2"/>
      <c r="F58" s="2"/>
      <c r="G58" s="2"/>
      <c r="H58" s="2"/>
      <c r="I58" s="2"/>
      <c r="J58" s="2"/>
      <c r="K58" s="2"/>
      <c r="L58" s="2"/>
      <c r="N58" s="31"/>
      <c r="O58" s="31"/>
      <c r="AA58" s="53" t="s">
        <v>251</v>
      </c>
    </row>
    <row r="59" spans="1:2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31"/>
      <c r="O59" s="31"/>
      <c r="AA59" s="53" t="s">
        <v>192</v>
      </c>
    </row>
    <row r="60" spans="1:27">
      <c r="A60" s="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31"/>
      <c r="O60" s="31"/>
      <c r="AA60" s="53" t="s">
        <v>196</v>
      </c>
    </row>
    <row r="61" spans="1:2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31"/>
      <c r="O61" s="31"/>
      <c r="AA61" s="53" t="s">
        <v>200</v>
      </c>
    </row>
    <row r="62" spans="1:27">
      <c r="A62" s="3" t="s">
        <v>38</v>
      </c>
      <c r="B62" s="2"/>
      <c r="C62" s="2"/>
      <c r="D62" s="2"/>
      <c r="E62" s="14"/>
      <c r="F62" s="2"/>
      <c r="G62" s="2"/>
      <c r="H62" s="2"/>
      <c r="I62" s="2"/>
      <c r="J62" s="2"/>
      <c r="K62" s="2"/>
      <c r="L62" s="2"/>
      <c r="N62" s="31"/>
      <c r="O62" s="31"/>
      <c r="AA62" s="53" t="s">
        <v>157</v>
      </c>
    </row>
    <row r="63" spans="1:27">
      <c r="A63" s="3" t="s">
        <v>39</v>
      </c>
      <c r="B63" s="2"/>
      <c r="C63" s="2"/>
      <c r="D63" s="2"/>
      <c r="E63" s="14"/>
      <c r="F63" s="2"/>
      <c r="G63" s="2"/>
      <c r="H63" s="2"/>
      <c r="I63" s="2"/>
      <c r="J63" s="2"/>
      <c r="K63" s="2"/>
      <c r="L63" s="2"/>
      <c r="N63" s="31"/>
      <c r="O63" s="31"/>
      <c r="AA63" s="53" t="s">
        <v>222</v>
      </c>
    </row>
    <row r="64" spans="1:27">
      <c r="A64" s="2"/>
      <c r="B64" s="2"/>
      <c r="C64" s="2"/>
      <c r="D64" s="2"/>
      <c r="E64" s="14"/>
      <c r="F64" s="2"/>
      <c r="G64" s="2"/>
      <c r="H64" s="2"/>
      <c r="I64" s="2"/>
      <c r="J64" s="2"/>
      <c r="K64" s="2"/>
      <c r="L64" s="2"/>
      <c r="N64" s="31"/>
      <c r="O64" s="31"/>
      <c r="AA64" s="53" t="s">
        <v>93</v>
      </c>
    </row>
    <row r="65" spans="1:27">
      <c r="A65" s="2"/>
      <c r="B65" s="2"/>
      <c r="C65" s="2"/>
      <c r="D65" s="2"/>
      <c r="E65" s="15" t="s">
        <v>22</v>
      </c>
      <c r="F65" s="8" t="str">
        <f>A18</f>
        <v>Garbage (food waste)</v>
      </c>
      <c r="G65" s="2"/>
      <c r="H65" s="2"/>
      <c r="I65" s="2"/>
      <c r="J65" s="2"/>
      <c r="K65" s="2"/>
      <c r="L65" s="2"/>
      <c r="N65" s="31"/>
      <c r="O65" s="31"/>
      <c r="AA65" s="53" t="s">
        <v>246</v>
      </c>
    </row>
    <row r="66" spans="1:27">
      <c r="A66" s="2"/>
      <c r="B66" s="2"/>
      <c r="C66" s="2"/>
      <c r="D66" s="2"/>
      <c r="F66" s="12">
        <f>-(E16*C19*(100-B19)*C26+E17*C19*(100-B19)*C26-E17*C17*(100-B17)*C26-E16*C16*(100-B16)*C26-E16*C27*D19*(100-B19)*C26-E17*C27*D19*(100-B19)*C26+C27*E16*D16*(100-B16)*C26+C27*E17*D17*(100-B17)*C26-B19*C27*E16*D16*(100-B16)-B16*E16*C19*(100-B19)+B19*E16*C16*(100-B16)-B17*E17*C19*(100-B19)-B19*C27*E17*D17*(100-B17)+B16*E16*C27*D19*(100-B19)+B19*E17*C17*(100-B17)+B17*E17*C27*D19*(100-B19))/(C27*D18*(100-B18)*C26-C27*D18*(100-B18)*B19-C18*(100-B18)*C26+C18*(100-B18)*B19-C27*D19*(100-B19)*C26+C27*D19*(100-B19)*B18+C19*(100-B19)*C26-C19*(100-B19)*B18)</f>
        <v>137.69960183504787</v>
      </c>
      <c r="G66" s="2"/>
      <c r="H66" s="2"/>
      <c r="I66" s="2"/>
      <c r="J66" s="2"/>
      <c r="K66" s="2"/>
      <c r="L66" s="2"/>
      <c r="N66" s="31"/>
      <c r="O66" s="31"/>
      <c r="AA66" s="53" t="s">
        <v>158</v>
      </c>
    </row>
    <row r="67" spans="1:27">
      <c r="A67" s="2"/>
      <c r="B67" s="2"/>
      <c r="C67" s="2"/>
      <c r="D67" s="2"/>
      <c r="F67" s="14"/>
      <c r="G67" s="2"/>
      <c r="H67" s="2"/>
      <c r="I67" s="2"/>
      <c r="J67" s="2"/>
      <c r="K67" s="2"/>
      <c r="L67" s="2"/>
      <c r="N67" s="31"/>
      <c r="O67" s="31"/>
      <c r="AA67" s="54" t="s">
        <v>248</v>
      </c>
    </row>
    <row r="68" spans="1:27">
      <c r="A68" s="2"/>
      <c r="B68" s="2"/>
      <c r="C68" s="2"/>
      <c r="D68" s="2"/>
      <c r="E68" s="15" t="s">
        <v>27</v>
      </c>
      <c r="F68" t="str">
        <f>A19</f>
        <v>Water</v>
      </c>
      <c r="G68" s="2"/>
      <c r="H68" s="2"/>
      <c r="I68" s="2"/>
      <c r="J68" s="2"/>
      <c r="K68" s="2"/>
      <c r="L68" s="2"/>
      <c r="N68" s="31"/>
      <c r="O68" s="31"/>
      <c r="AA68" s="53" t="s">
        <v>254</v>
      </c>
    </row>
    <row r="69" spans="1:27">
      <c r="A69" s="2"/>
      <c r="B69" s="2"/>
      <c r="C69" s="2"/>
      <c r="D69" s="2"/>
      <c r="F69" s="12">
        <f>(-C27*D18*(100-B18)*C26*E16-C27*D18*(100-B18)*C26*E17+C27*D18*(100-B18)*B16*E16+C27*D18*(100-B18)*B17*E17+C18*(100-B18)*C26*E16+C18*(100-B18)*C26*E17-C18*(100-B18)*B16*E16-C18*(100-B18)*B17*E17+C27*E16*D16*(100-B16)*C26-C27*E16*D16*(100-B16)*B18+C27*E17*D17*(100-B17)*C26-C27*E17*D17*(100-B17)*B18-E16*C16*(100-B16)*C26+E16*C16*(100-B16)*B18-E17*C17*(100-B17)*C26+E17*C17*(100-B17)*B18)/(C27*D18*(100-B18)*C26-C27*D18*(100-B18)*B19-C18*(100-B18)*C26+C18*(100-B18)*B19-C27*D19*(100-B19)*C26+C27*D19*(100-B19)*B18+C19*(100-B19)*C26-C19*(100-B19)*B18)</f>
        <v>4.6488779261507975E-5</v>
      </c>
      <c r="G69" s="2"/>
      <c r="H69" s="2"/>
      <c r="I69" s="2"/>
      <c r="J69" s="2"/>
      <c r="K69" s="2"/>
      <c r="L69" s="2"/>
      <c r="N69" s="31"/>
      <c r="O69" s="31"/>
      <c r="AA69" s="53"/>
    </row>
    <row r="70" spans="1:2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31"/>
      <c r="O70" s="31"/>
    </row>
    <row r="71" spans="1:27">
      <c r="A71" s="2"/>
      <c r="B71" s="3" t="s">
        <v>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N71" s="31"/>
      <c r="O71" s="31"/>
      <c r="P71" s="30"/>
    </row>
    <row r="72" spans="1:27">
      <c r="A72" s="2"/>
      <c r="B72" s="3" t="s">
        <v>41</v>
      </c>
      <c r="C72" s="2"/>
      <c r="D72" s="2"/>
      <c r="E72" s="2"/>
      <c r="F72" s="2"/>
      <c r="G72" s="2"/>
      <c r="H72" s="2"/>
      <c r="I72" s="2"/>
      <c r="J72" s="2"/>
      <c r="K72" s="2"/>
      <c r="L72" s="2"/>
      <c r="N72" s="31"/>
      <c r="O72" s="31"/>
      <c r="P72" s="30"/>
    </row>
    <row r="73" spans="1:27">
      <c r="A73" s="2"/>
      <c r="B73" s="3" t="s">
        <v>42</v>
      </c>
      <c r="C73" s="2"/>
      <c r="D73" s="2"/>
      <c r="E73" s="2"/>
      <c r="F73" s="2"/>
      <c r="G73" s="2"/>
      <c r="H73" s="2"/>
      <c r="I73" s="2"/>
      <c r="J73" s="2"/>
      <c r="K73" s="2"/>
      <c r="L73" s="2"/>
      <c r="N73" s="31"/>
      <c r="O73" s="31"/>
      <c r="P73" s="30"/>
    </row>
    <row r="74" spans="1:2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/>
      <c r="O74" s="31"/>
      <c r="P74" s="30"/>
    </row>
    <row r="75" spans="1:27">
      <c r="A75" s="3" t="s">
        <v>43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31"/>
      <c r="O75" s="31"/>
      <c r="P75" s="30"/>
    </row>
    <row r="76" spans="1:2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31"/>
      <c r="O76" s="31"/>
      <c r="P76" s="30"/>
    </row>
    <row r="77" spans="1:2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31"/>
      <c r="O77" s="31"/>
      <c r="P77" s="30"/>
    </row>
    <row r="78" spans="1:2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31"/>
      <c r="O78" s="31"/>
      <c r="P78" s="30"/>
    </row>
    <row r="79" spans="1:2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31"/>
      <c r="O79" s="31"/>
      <c r="P79" s="30"/>
    </row>
    <row r="80" spans="1:2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31"/>
      <c r="O80" s="31"/>
      <c r="P80" s="30"/>
    </row>
    <row r="81" spans="1:1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31"/>
      <c r="O81" s="31"/>
      <c r="P81" s="30"/>
    </row>
    <row r="82" spans="1:1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31"/>
      <c r="O82" s="31"/>
      <c r="P82" s="30"/>
    </row>
    <row r="83" spans="1:1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31"/>
      <c r="O83" s="31"/>
      <c r="P83" s="30"/>
    </row>
    <row r="84" spans="1:1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31"/>
      <c r="O84" s="31"/>
    </row>
    <row r="85" spans="1:1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31"/>
      <c r="O85" s="31"/>
    </row>
    <row r="86" spans="1:1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N86" s="31"/>
      <c r="O86" s="31"/>
    </row>
    <row r="87" spans="1:1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N87" s="31"/>
      <c r="O87" s="31"/>
    </row>
    <row r="88" spans="1:1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N88" s="31"/>
      <c r="O88" s="31"/>
    </row>
    <row r="89" spans="1:1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N89" s="31"/>
      <c r="O89" s="31"/>
    </row>
    <row r="90" spans="1:1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N90" s="31"/>
      <c r="O90" s="31"/>
    </row>
    <row r="91" spans="1:1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N91" s="31"/>
      <c r="O91" s="31"/>
    </row>
    <row r="92" spans="1:1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N92" s="31"/>
      <c r="O92" s="31"/>
    </row>
    <row r="93" spans="1:1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N93" s="31"/>
      <c r="O93" s="31"/>
    </row>
    <row r="94" spans="1:1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N94" s="31"/>
      <c r="O94" s="31"/>
    </row>
    <row r="95" spans="1:1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N95" s="31"/>
      <c r="O95" s="31"/>
    </row>
    <row r="96" spans="1:1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N96" s="31"/>
      <c r="O96" s="31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N97" s="31"/>
      <c r="O97" s="31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N98" s="31"/>
      <c r="O98" s="31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N99" s="31"/>
      <c r="O99" s="31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N100" s="31"/>
      <c r="O100" s="31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N101" s="31"/>
      <c r="O101" s="31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N102" s="31"/>
      <c r="O102" s="31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N103" s="31"/>
      <c r="O103" s="31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N104" s="31"/>
      <c r="O104" s="31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N105" s="31"/>
      <c r="O105" s="31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31"/>
      <c r="O106" s="31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N107" s="31"/>
      <c r="O107" s="31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N108" s="31"/>
      <c r="O108" s="31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N109" s="31"/>
      <c r="O109" s="31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N110" s="31"/>
      <c r="O110" s="31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N111" s="31"/>
      <c r="O111" s="31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N112" s="31"/>
      <c r="O112" s="31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N113" s="31"/>
      <c r="O113" s="31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N114" s="31"/>
      <c r="O114" s="31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N115" s="31"/>
      <c r="O115" s="31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N116" s="31"/>
      <c r="O116" s="31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N117" s="31"/>
      <c r="O117" s="31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N118" s="31"/>
      <c r="O118" s="31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N119" s="31"/>
      <c r="O119" s="31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N120" s="31"/>
      <c r="O120" s="31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N121" s="31"/>
      <c r="O121" s="31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N122" s="31"/>
      <c r="O122" s="31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N123" s="31"/>
      <c r="O123" s="31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N124" s="31"/>
      <c r="O124" s="31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N125" s="31"/>
      <c r="O125" s="31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N126" s="31"/>
      <c r="O126" s="31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N127" s="31"/>
      <c r="O127" s="31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N128" s="31"/>
      <c r="O128" s="31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N129" s="31"/>
      <c r="O129" s="31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N130" s="31"/>
      <c r="O130" s="31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N131" s="31"/>
      <c r="O131" s="31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N132" s="31"/>
      <c r="O132" s="31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N133" s="31"/>
      <c r="O133" s="31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N134" s="31"/>
      <c r="O134" s="31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N135" s="31"/>
      <c r="O135" s="31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N136" s="31"/>
      <c r="O136" s="31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N137" s="31"/>
      <c r="O137" s="31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>
      <c r="A158" s="2"/>
      <c r="B158" s="2"/>
      <c r="C158" s="2"/>
      <c r="D158" s="2"/>
      <c r="E158" s="2"/>
      <c r="F158" s="2"/>
      <c r="G158" s="2"/>
      <c r="H158" s="2"/>
      <c r="I158" s="2"/>
      <c r="J158" s="2"/>
    </row>
  </sheetData>
  <sortState ref="P3:P78">
    <sortCondition ref="P3:P78"/>
  </sortState>
  <mergeCells count="1">
    <mergeCell ref="L17:L20"/>
  </mergeCells>
  <dataValidations count="4">
    <dataValidation type="list" allowBlank="1" showInputMessage="1" showErrorMessage="1" sqref="M21">
      <formula1>$Z$20:$Z$21</formula1>
    </dataValidation>
    <dataValidation type="list" allowBlank="1" showInputMessage="1" showErrorMessage="1" sqref="M22">
      <formula1>$Z$23:$Z$24</formula1>
    </dataValidation>
    <dataValidation type="list" allowBlank="1" showInputMessage="1" showErrorMessage="1" sqref="J32">
      <formula1>$AA$5:$AA$69</formula1>
    </dataValidation>
    <dataValidation type="list" allowBlank="1" showInputMessage="1" showErrorMessage="1" sqref="A16:A19">
      <formula1>$AA$5:$AA$68</formula1>
    </dataValidation>
  </dataValidations>
  <hyperlinks>
    <hyperlink ref="C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zoomScale="85" zoomScaleNormal="85" workbookViewId="0">
      <pane ySplit="3" topLeftCell="A4" activePane="bottomLeft" state="frozen"/>
      <selection pane="bottomLeft" activeCell="A147" sqref="A147"/>
    </sheetView>
  </sheetViews>
  <sheetFormatPr defaultRowHeight="14.5"/>
  <cols>
    <col min="1" max="1" width="49.453125" bestFit="1" customWidth="1"/>
    <col min="2" max="2" width="8.26953125" bestFit="1" customWidth="1"/>
    <col min="3" max="3" width="8.7265625" bestFit="1" customWidth="1"/>
    <col min="4" max="4" width="13" customWidth="1"/>
    <col min="5" max="5" width="13.26953125" customWidth="1"/>
    <col min="6" max="6" width="12" bestFit="1" customWidth="1"/>
  </cols>
  <sheetData>
    <row r="1" spans="1:8">
      <c r="A1" s="16"/>
      <c r="B1" s="16"/>
      <c r="C1" s="17" t="s">
        <v>44</v>
      </c>
      <c r="D1" s="17" t="s">
        <v>45</v>
      </c>
      <c r="E1" s="17" t="s">
        <v>46</v>
      </c>
      <c r="F1" s="17" t="s">
        <v>47</v>
      </c>
      <c r="G1" s="16"/>
      <c r="H1" s="35" t="s">
        <v>263</v>
      </c>
    </row>
    <row r="2" spans="1:8">
      <c r="A2" s="17"/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8"/>
    </row>
    <row r="3" spans="1:8">
      <c r="A3" s="17" t="s">
        <v>53</v>
      </c>
      <c r="B3" s="17" t="s">
        <v>54</v>
      </c>
      <c r="C3" s="17" t="s">
        <v>55</v>
      </c>
      <c r="D3" s="17" t="s">
        <v>56</v>
      </c>
      <c r="E3" s="17" t="s">
        <v>57</v>
      </c>
      <c r="F3" s="17" t="s">
        <v>58</v>
      </c>
      <c r="G3" s="18"/>
    </row>
    <row r="4" spans="1:8">
      <c r="A4" s="19" t="s">
        <v>59</v>
      </c>
      <c r="B4" s="20"/>
      <c r="C4" s="20"/>
      <c r="D4" s="20"/>
      <c r="E4" s="20"/>
      <c r="F4" s="20"/>
      <c r="G4" s="18"/>
    </row>
    <row r="5" spans="1:8">
      <c r="A5" s="18" t="s">
        <v>60</v>
      </c>
      <c r="B5" s="18" t="s">
        <v>61</v>
      </c>
      <c r="C5" s="18">
        <v>1.2</v>
      </c>
      <c r="D5" s="18">
        <v>13</v>
      </c>
      <c r="E5" s="18">
        <v>60</v>
      </c>
      <c r="F5" s="21">
        <v>1197</v>
      </c>
      <c r="G5" s="18"/>
    </row>
    <row r="6" spans="1:8">
      <c r="A6" s="18" t="s">
        <v>62</v>
      </c>
      <c r="B6" s="18" t="s">
        <v>61</v>
      </c>
      <c r="C6" s="18">
        <v>1.1000000000000001</v>
      </c>
      <c r="D6" s="18">
        <v>48</v>
      </c>
      <c r="E6" s="18">
        <v>88</v>
      </c>
      <c r="F6" s="21">
        <v>1559</v>
      </c>
      <c r="G6" s="18"/>
    </row>
    <row r="7" spans="1:8">
      <c r="A7" s="18" t="s">
        <v>63</v>
      </c>
      <c r="B7" s="18" t="s">
        <v>61</v>
      </c>
      <c r="C7" s="18">
        <v>2.8</v>
      </c>
      <c r="D7" s="18">
        <v>7</v>
      </c>
      <c r="E7" s="18">
        <v>59</v>
      </c>
      <c r="F7" s="21">
        <v>1411</v>
      </c>
      <c r="G7" s="18"/>
    </row>
    <row r="8" spans="1:8">
      <c r="A8" s="18" t="s">
        <v>64</v>
      </c>
      <c r="B8" s="18" t="s">
        <v>61</v>
      </c>
      <c r="C8" s="18">
        <v>2.2999999999999998</v>
      </c>
      <c r="D8" s="18">
        <v>22</v>
      </c>
      <c r="E8" s="18">
        <v>8</v>
      </c>
      <c r="F8" s="18">
        <v>798</v>
      </c>
      <c r="G8" s="18"/>
    </row>
    <row r="9" spans="1:8">
      <c r="A9" s="18" t="s">
        <v>65</v>
      </c>
      <c r="B9" s="18" t="s">
        <v>61</v>
      </c>
      <c r="C9" s="18">
        <v>2.2799999999999998</v>
      </c>
      <c r="D9" s="18">
        <v>20</v>
      </c>
      <c r="E9" s="18">
        <f>AVERAGE(65,85)</f>
        <v>75</v>
      </c>
      <c r="F9" s="18" t="s">
        <v>66</v>
      </c>
      <c r="G9" s="30" t="s">
        <v>256</v>
      </c>
    </row>
    <row r="10" spans="1:8">
      <c r="A10" s="22" t="s">
        <v>67</v>
      </c>
      <c r="B10" s="22" t="s">
        <v>68</v>
      </c>
      <c r="C10" s="22" t="s">
        <v>69</v>
      </c>
      <c r="D10" s="22" t="s">
        <v>70</v>
      </c>
      <c r="E10" s="23" t="s">
        <v>71</v>
      </c>
      <c r="F10" s="22" t="s">
        <v>66</v>
      </c>
      <c r="G10" s="18"/>
    </row>
    <row r="11" spans="1:8">
      <c r="A11" s="18" t="s">
        <v>72</v>
      </c>
      <c r="B11" s="18" t="s">
        <v>73</v>
      </c>
      <c r="C11" s="18">
        <v>0.6</v>
      </c>
      <c r="D11" s="18">
        <v>98</v>
      </c>
      <c r="E11" s="18">
        <v>15</v>
      </c>
      <c r="F11" s="18">
        <v>557</v>
      </c>
      <c r="G11" s="18"/>
    </row>
    <row r="12" spans="1:8">
      <c r="A12" s="18" t="s">
        <v>74</v>
      </c>
      <c r="B12" s="18" t="s">
        <v>61</v>
      </c>
      <c r="C12" s="18">
        <f>AVERAGE(0.6,0.8)</f>
        <v>0.7</v>
      </c>
      <c r="D12" s="18">
        <f>AVERAGE(60,73)</f>
        <v>66.5</v>
      </c>
      <c r="E12" s="18">
        <v>12</v>
      </c>
      <c r="F12" s="18">
        <v>32</v>
      </c>
      <c r="G12" s="18"/>
    </row>
    <row r="13" spans="1:8">
      <c r="A13" s="18" t="s">
        <v>75</v>
      </c>
      <c r="B13" s="18" t="s">
        <v>61</v>
      </c>
      <c r="C13" s="18">
        <v>7.7</v>
      </c>
      <c r="D13" s="18">
        <v>7</v>
      </c>
      <c r="E13" s="18" t="s">
        <v>66</v>
      </c>
      <c r="F13" s="18" t="s">
        <v>66</v>
      </c>
      <c r="G13" s="18"/>
    </row>
    <row r="14" spans="1:8">
      <c r="A14" s="18" t="s">
        <v>76</v>
      </c>
      <c r="B14" s="18" t="s">
        <v>61</v>
      </c>
      <c r="C14" s="18">
        <v>2.8</v>
      </c>
      <c r="D14" s="18">
        <v>31</v>
      </c>
      <c r="E14" s="18">
        <v>50</v>
      </c>
      <c r="F14" s="21">
        <v>1021</v>
      </c>
      <c r="G14" s="18"/>
    </row>
    <row r="15" spans="1:8">
      <c r="A15" s="18" t="s">
        <v>249</v>
      </c>
      <c r="B15" s="18" t="s">
        <v>61</v>
      </c>
      <c r="C15" s="18">
        <v>1.2</v>
      </c>
      <c r="D15" s="18">
        <v>42</v>
      </c>
      <c r="E15" s="18">
        <v>71</v>
      </c>
      <c r="F15" s="21">
        <v>1298</v>
      </c>
      <c r="G15" s="18"/>
    </row>
    <row r="16" spans="1:8">
      <c r="A16" s="18" t="s">
        <v>77</v>
      </c>
      <c r="B16" s="18" t="s">
        <v>61</v>
      </c>
      <c r="C16" s="18">
        <v>0.9</v>
      </c>
      <c r="D16" s="18">
        <v>61</v>
      </c>
      <c r="E16" s="18">
        <v>61</v>
      </c>
      <c r="F16" s="18" t="s">
        <v>66</v>
      </c>
      <c r="G16" s="18"/>
    </row>
    <row r="17" spans="1:14">
      <c r="A17" s="18" t="s">
        <v>78</v>
      </c>
      <c r="B17" s="18" t="s">
        <v>61</v>
      </c>
      <c r="C17" s="18" t="s">
        <v>66</v>
      </c>
      <c r="D17" s="18">
        <v>18</v>
      </c>
      <c r="E17" s="18">
        <v>78</v>
      </c>
      <c r="F17" s="21">
        <v>1540</v>
      </c>
      <c r="G17" s="18"/>
    </row>
    <row r="18" spans="1:14">
      <c r="A18" s="22" t="s">
        <v>79</v>
      </c>
      <c r="B18" s="22" t="s">
        <v>68</v>
      </c>
      <c r="C18" s="22" t="s">
        <v>80</v>
      </c>
      <c r="D18" s="22" t="s">
        <v>81</v>
      </c>
      <c r="E18" s="22" t="s">
        <v>82</v>
      </c>
      <c r="F18" s="22" t="s">
        <v>66</v>
      </c>
      <c r="G18" s="18"/>
    </row>
    <row r="19" spans="1:14">
      <c r="A19" s="18" t="s">
        <v>83</v>
      </c>
      <c r="B19" s="18" t="s">
        <v>73</v>
      </c>
      <c r="C19" s="18">
        <v>1.4</v>
      </c>
      <c r="D19" s="18">
        <v>40</v>
      </c>
      <c r="E19" s="18">
        <v>80</v>
      </c>
      <c r="F19" s="18" t="s">
        <v>66</v>
      </c>
      <c r="G19" s="18"/>
    </row>
    <row r="20" spans="1:14">
      <c r="A20" s="18" t="s">
        <v>84</v>
      </c>
      <c r="B20" s="18" t="s">
        <v>61</v>
      </c>
      <c r="C20" s="18">
        <f>AVERAGE(1.2,1.5)</f>
        <v>1.35</v>
      </c>
      <c r="D20" s="18">
        <f>AVERAGE(30,35)</f>
        <v>32.5</v>
      </c>
      <c r="E20" s="24">
        <f>AVERAGE(8,10)</f>
        <v>9</v>
      </c>
      <c r="F20" s="18" t="s">
        <v>66</v>
      </c>
      <c r="G20" s="18"/>
    </row>
    <row r="21" spans="1:14">
      <c r="A21" s="18" t="s">
        <v>85</v>
      </c>
      <c r="B21" s="18" t="s">
        <v>61</v>
      </c>
      <c r="C21" s="18" t="s">
        <v>66</v>
      </c>
      <c r="D21" s="18">
        <v>28</v>
      </c>
      <c r="E21" s="18">
        <v>75</v>
      </c>
      <c r="F21" s="21">
        <v>1570</v>
      </c>
      <c r="G21" s="18"/>
    </row>
    <row r="22" spans="1:14">
      <c r="A22" s="18" t="s">
        <v>86</v>
      </c>
      <c r="B22" s="18" t="s">
        <v>61</v>
      </c>
      <c r="C22" s="18">
        <v>1.5</v>
      </c>
      <c r="D22" s="18">
        <v>25</v>
      </c>
      <c r="E22" s="18" t="s">
        <v>66</v>
      </c>
      <c r="F22" s="18" t="s">
        <v>66</v>
      </c>
      <c r="G22" s="18"/>
    </row>
    <row r="23" spans="1:14">
      <c r="A23" s="22" t="s">
        <v>87</v>
      </c>
      <c r="B23" s="22" t="s">
        <v>68</v>
      </c>
      <c r="C23" s="22" t="s">
        <v>88</v>
      </c>
      <c r="D23" s="22" t="s">
        <v>89</v>
      </c>
      <c r="E23" s="25" t="s">
        <v>90</v>
      </c>
      <c r="F23" s="22">
        <f>AVERAGE(185,219)</f>
        <v>202</v>
      </c>
      <c r="G23" s="22"/>
      <c r="H23" s="26"/>
      <c r="I23" s="26"/>
      <c r="J23" s="26"/>
      <c r="K23" s="26"/>
      <c r="L23" s="26"/>
      <c r="M23" s="26"/>
      <c r="N23" s="26"/>
    </row>
    <row r="24" spans="1:14">
      <c r="A24" s="18" t="s">
        <v>91</v>
      </c>
      <c r="B24" s="18" t="s">
        <v>73</v>
      </c>
      <c r="C24" s="18">
        <v>0.3</v>
      </c>
      <c r="D24" s="18">
        <v>121</v>
      </c>
      <c r="E24" s="18">
        <v>14</v>
      </c>
      <c r="F24" s="18">
        <v>202</v>
      </c>
      <c r="G24" s="18"/>
    </row>
    <row r="25" spans="1:14">
      <c r="A25" s="18" t="s">
        <v>92</v>
      </c>
      <c r="B25" s="18" t="s">
        <v>61</v>
      </c>
      <c r="C25" s="18">
        <f>AVERAGE(7.2,7.6)</f>
        <v>7.4</v>
      </c>
      <c r="D25" s="24">
        <f>AVERAGE(4,6)</f>
        <v>5</v>
      </c>
      <c r="E25" s="18" t="s">
        <v>66</v>
      </c>
      <c r="F25" s="18" t="s">
        <v>66</v>
      </c>
      <c r="G25" s="18"/>
    </row>
    <row r="26" spans="1:14">
      <c r="A26" s="18" t="s">
        <v>93</v>
      </c>
      <c r="B26" s="18" t="s">
        <v>61</v>
      </c>
      <c r="C26" s="18">
        <v>4.5</v>
      </c>
      <c r="D26" s="27" t="s">
        <v>94</v>
      </c>
      <c r="E26" s="18">
        <v>62</v>
      </c>
      <c r="F26" s="18" t="s">
        <v>66</v>
      </c>
      <c r="G26" s="18"/>
    </row>
    <row r="27" spans="1:14">
      <c r="A27" s="18" t="s">
        <v>95</v>
      </c>
      <c r="B27" s="18" t="s">
        <v>61</v>
      </c>
      <c r="C27" s="18">
        <v>2.7</v>
      </c>
      <c r="D27" s="18">
        <v>19</v>
      </c>
      <c r="E27" s="18">
        <v>87</v>
      </c>
      <c r="F27" s="21">
        <v>1585</v>
      </c>
      <c r="G27" s="18"/>
    </row>
    <row r="28" spans="1:14">
      <c r="A28" s="18" t="s">
        <v>96</v>
      </c>
      <c r="B28" s="18" t="s">
        <v>61</v>
      </c>
      <c r="C28" s="18">
        <f>AVERAGE(2.5,4)</f>
        <v>3.25</v>
      </c>
      <c r="D28" s="24">
        <f>AVERAGE(11,13)</f>
        <v>12</v>
      </c>
      <c r="E28" s="18" t="s">
        <v>66</v>
      </c>
      <c r="F28" s="18" t="s">
        <v>66</v>
      </c>
      <c r="G28" s="18"/>
    </row>
    <row r="29" spans="1:14">
      <c r="A29" s="18"/>
      <c r="B29" s="18"/>
      <c r="C29" s="18"/>
      <c r="D29" s="18"/>
      <c r="E29" s="18"/>
      <c r="F29" s="18"/>
      <c r="G29" s="18"/>
    </row>
    <row r="30" spans="1:14">
      <c r="A30" s="59" t="s">
        <v>97</v>
      </c>
      <c r="B30" s="59"/>
      <c r="C30" s="59"/>
      <c r="D30" s="59"/>
      <c r="E30" s="59"/>
      <c r="F30" s="59"/>
      <c r="G30" s="59"/>
    </row>
    <row r="31" spans="1:14">
      <c r="A31" s="18" t="s">
        <v>98</v>
      </c>
      <c r="B31" s="18" t="s">
        <v>61</v>
      </c>
      <c r="C31" s="18">
        <f>AVERAGE(13,14)</f>
        <v>13.5</v>
      </c>
      <c r="D31" s="18">
        <f>AVERAGE(3,3.5)</f>
        <v>3.25</v>
      </c>
      <c r="E31" s="24">
        <f>AVERAGE(10,78)</f>
        <v>44</v>
      </c>
      <c r="F31" s="18" t="s">
        <v>66</v>
      </c>
      <c r="G31" s="18"/>
    </row>
    <row r="32" spans="1:14">
      <c r="A32" s="18"/>
      <c r="B32" s="18"/>
      <c r="C32" s="18"/>
      <c r="D32" s="18"/>
      <c r="E32" s="18"/>
      <c r="F32" s="18"/>
      <c r="G32" s="18"/>
    </row>
    <row r="33" spans="1:7">
      <c r="A33" s="22" t="s">
        <v>99</v>
      </c>
      <c r="B33" s="22" t="s">
        <v>68</v>
      </c>
      <c r="C33" s="22" t="s">
        <v>100</v>
      </c>
      <c r="D33" s="22" t="s">
        <v>101</v>
      </c>
      <c r="E33" s="22" t="s">
        <v>102</v>
      </c>
      <c r="F33" s="22" t="s">
        <v>66</v>
      </c>
      <c r="G33" s="18"/>
    </row>
    <row r="34" spans="1:7">
      <c r="A34" s="18" t="s">
        <v>103</v>
      </c>
      <c r="B34" s="18" t="s">
        <v>73</v>
      </c>
      <c r="C34" s="18">
        <v>6.1</v>
      </c>
      <c r="D34" s="18">
        <v>4.9000000000000004</v>
      </c>
      <c r="E34" s="18">
        <v>47</v>
      </c>
      <c r="F34" s="18">
        <v>240</v>
      </c>
      <c r="G34" s="18"/>
    </row>
    <row r="35" spans="1:7">
      <c r="A35" s="18" t="s">
        <v>104</v>
      </c>
      <c r="B35" s="18" t="s">
        <v>61</v>
      </c>
      <c r="C35" s="18">
        <v>2</v>
      </c>
      <c r="D35" s="18">
        <v>28</v>
      </c>
      <c r="E35" s="18">
        <v>10</v>
      </c>
      <c r="F35" s="18" t="s">
        <v>66</v>
      </c>
      <c r="G35" s="18"/>
    </row>
    <row r="36" spans="1:7">
      <c r="A36" s="18" t="s">
        <v>105</v>
      </c>
      <c r="B36" s="18" t="s">
        <v>61</v>
      </c>
      <c r="C36" s="18">
        <v>6.8</v>
      </c>
      <c r="D36" s="18">
        <v>5.2</v>
      </c>
      <c r="E36" s="18">
        <v>94</v>
      </c>
      <c r="F36" s="18" t="s">
        <v>66</v>
      </c>
      <c r="G36" s="18"/>
    </row>
    <row r="37" spans="1:7">
      <c r="A37" s="22" t="s">
        <v>106</v>
      </c>
      <c r="B37" s="22" t="s">
        <v>68</v>
      </c>
      <c r="C37" s="22" t="s">
        <v>107</v>
      </c>
      <c r="D37" s="22" t="s">
        <v>108</v>
      </c>
      <c r="E37" s="22" t="s">
        <v>109</v>
      </c>
      <c r="F37" s="22" t="s">
        <v>66</v>
      </c>
      <c r="G37" s="18"/>
    </row>
    <row r="38" spans="1:7">
      <c r="A38" s="18" t="s">
        <v>110</v>
      </c>
      <c r="B38" s="18" t="s">
        <v>73</v>
      </c>
      <c r="C38" s="18">
        <v>10.6</v>
      </c>
      <c r="D38" s="18">
        <v>3.6</v>
      </c>
      <c r="E38" s="18">
        <v>76</v>
      </c>
      <c r="F38" s="18" t="s">
        <v>66</v>
      </c>
      <c r="G38" s="18"/>
    </row>
    <row r="39" spans="1:7">
      <c r="A39" s="18" t="s">
        <v>111</v>
      </c>
      <c r="B39" s="18" t="s">
        <v>61</v>
      </c>
      <c r="C39" s="24">
        <f>AVERAGE(7,10)</f>
        <v>8.5</v>
      </c>
      <c r="D39" s="24">
        <f>AVERAGE(2,4)</f>
        <v>3</v>
      </c>
      <c r="E39" s="18" t="s">
        <v>66</v>
      </c>
      <c r="F39" s="18" t="s">
        <v>66</v>
      </c>
      <c r="G39" s="18"/>
    </row>
    <row r="40" spans="1:7">
      <c r="A40" s="18" t="s">
        <v>112</v>
      </c>
      <c r="B40" s="18" t="s">
        <v>61</v>
      </c>
      <c r="C40" s="18">
        <v>3.6</v>
      </c>
      <c r="D40" s="18">
        <v>2.2000000000000002</v>
      </c>
      <c r="E40" s="18">
        <v>63</v>
      </c>
      <c r="F40" s="18" t="s">
        <v>66</v>
      </c>
      <c r="G40" s="18"/>
    </row>
    <row r="41" spans="1:7">
      <c r="A41" s="18" t="s">
        <v>113</v>
      </c>
      <c r="B41" s="18" t="s">
        <v>61</v>
      </c>
      <c r="C41" s="18">
        <v>2.4</v>
      </c>
      <c r="D41" s="18">
        <v>5</v>
      </c>
      <c r="E41" s="18">
        <v>65</v>
      </c>
      <c r="F41" s="18" t="s">
        <v>66</v>
      </c>
      <c r="G41" s="18"/>
    </row>
    <row r="42" spans="1:7">
      <c r="A42" s="18" t="s">
        <v>114</v>
      </c>
      <c r="B42" s="18" t="s">
        <v>61</v>
      </c>
      <c r="C42" s="18">
        <v>1.8</v>
      </c>
      <c r="D42" s="18">
        <f>AVERAGE(20,30)</f>
        <v>25</v>
      </c>
      <c r="E42" s="18">
        <f>AVERAGE(80,85)</f>
        <v>82.5</v>
      </c>
      <c r="F42" s="21">
        <v>1460</v>
      </c>
      <c r="G42" s="18"/>
    </row>
    <row r="43" spans="1:7">
      <c r="A43" s="18" t="s">
        <v>115</v>
      </c>
      <c r="B43" s="18" t="s">
        <v>61</v>
      </c>
      <c r="C43" s="18">
        <v>9.5</v>
      </c>
      <c r="D43" s="18">
        <v>3.4</v>
      </c>
      <c r="E43" s="18">
        <v>78</v>
      </c>
      <c r="F43" s="18" t="s">
        <v>66</v>
      </c>
      <c r="G43" s="18"/>
    </row>
    <row r="44" spans="1:7">
      <c r="A44" s="18"/>
      <c r="B44" s="18"/>
      <c r="C44" s="18"/>
      <c r="D44" s="18"/>
      <c r="E44" s="18"/>
      <c r="F44" s="18"/>
      <c r="G44" s="18"/>
    </row>
    <row r="45" spans="1:7">
      <c r="A45" s="59" t="s">
        <v>116</v>
      </c>
      <c r="B45" s="59"/>
      <c r="C45" s="59"/>
      <c r="D45" s="59"/>
      <c r="E45" s="59"/>
      <c r="F45" s="59"/>
      <c r="G45" s="59"/>
    </row>
    <row r="46" spans="1:7">
      <c r="A46" s="22" t="s">
        <v>117</v>
      </c>
      <c r="B46" s="22" t="s">
        <v>68</v>
      </c>
      <c r="C46" s="22" t="s">
        <v>118</v>
      </c>
      <c r="D46" s="22" t="s">
        <v>119</v>
      </c>
      <c r="E46" s="22" t="s">
        <v>120</v>
      </c>
      <c r="F46" s="22" t="s">
        <v>121</v>
      </c>
      <c r="G46" s="18"/>
    </row>
    <row r="47" spans="1:7">
      <c r="A47" s="18" t="s">
        <v>122</v>
      </c>
      <c r="B47" s="18" t="s">
        <v>73</v>
      </c>
      <c r="C47" s="18">
        <v>2.7</v>
      </c>
      <c r="D47" s="18">
        <v>14</v>
      </c>
      <c r="E47" s="18">
        <v>37</v>
      </c>
      <c r="F47" s="18">
        <v>864</v>
      </c>
      <c r="G47" s="18"/>
    </row>
    <row r="48" spans="1:7">
      <c r="A48" s="18"/>
      <c r="B48" s="18"/>
      <c r="C48" s="18"/>
      <c r="D48" s="18"/>
      <c r="E48" s="18"/>
      <c r="F48" s="18"/>
      <c r="G48" s="18"/>
    </row>
    <row r="49" spans="1:7">
      <c r="A49" s="22" t="s">
        <v>123</v>
      </c>
      <c r="B49" s="22" t="s">
        <v>68</v>
      </c>
      <c r="C49" s="22" t="s">
        <v>124</v>
      </c>
      <c r="D49" s="23" t="s">
        <v>125</v>
      </c>
      <c r="E49" s="22" t="s">
        <v>126</v>
      </c>
      <c r="F49" s="22" t="s">
        <v>127</v>
      </c>
      <c r="G49" s="18"/>
    </row>
    <row r="50" spans="1:7">
      <c r="A50" s="18" t="s">
        <v>128</v>
      </c>
      <c r="B50" s="18" t="s">
        <v>73</v>
      </c>
      <c r="C50" s="18">
        <v>2.4</v>
      </c>
      <c r="D50" s="18">
        <v>19</v>
      </c>
      <c r="E50" s="18">
        <v>81</v>
      </c>
      <c r="F50" s="21">
        <v>1458</v>
      </c>
      <c r="G50" s="18"/>
    </row>
    <row r="51" spans="1:7">
      <c r="A51" s="18" t="s">
        <v>129</v>
      </c>
      <c r="B51" s="18" t="s">
        <v>61</v>
      </c>
      <c r="C51" s="18">
        <v>2.7</v>
      </c>
      <c r="D51" s="18">
        <v>18</v>
      </c>
      <c r="E51" s="18">
        <v>79</v>
      </c>
      <c r="F51" s="18" t="s">
        <v>66</v>
      </c>
      <c r="G51" s="18"/>
    </row>
    <row r="52" spans="1:7">
      <c r="A52" s="18" t="s">
        <v>130</v>
      </c>
      <c r="B52" s="18" t="s">
        <v>61</v>
      </c>
      <c r="C52" s="18">
        <v>3.7</v>
      </c>
      <c r="D52" s="18">
        <v>13</v>
      </c>
      <c r="E52" s="18">
        <v>83</v>
      </c>
      <c r="F52" s="18" t="s">
        <v>66</v>
      </c>
      <c r="G52" s="18"/>
    </row>
    <row r="53" spans="1:7">
      <c r="A53" s="18"/>
      <c r="B53" s="18"/>
      <c r="C53" s="18"/>
      <c r="D53" s="18"/>
      <c r="E53" s="18"/>
      <c r="F53" s="18"/>
      <c r="G53" s="18"/>
    </row>
    <row r="54" spans="1:7">
      <c r="A54" s="22" t="s">
        <v>131</v>
      </c>
      <c r="B54" s="22" t="s">
        <v>68</v>
      </c>
      <c r="C54" s="22" t="s">
        <v>132</v>
      </c>
      <c r="D54" s="22" t="s">
        <v>133</v>
      </c>
      <c r="E54" s="22" t="s">
        <v>134</v>
      </c>
      <c r="F54" s="22" t="s">
        <v>135</v>
      </c>
      <c r="G54" s="18"/>
    </row>
    <row r="55" spans="1:7">
      <c r="A55" s="18" t="s">
        <v>136</v>
      </c>
      <c r="B55" s="18" t="s">
        <v>73</v>
      </c>
      <c r="C55" s="18">
        <v>1.6</v>
      </c>
      <c r="D55" s="18">
        <v>30</v>
      </c>
      <c r="E55" s="18">
        <v>72</v>
      </c>
      <c r="F55" s="21">
        <v>1379</v>
      </c>
      <c r="G55" s="18"/>
    </row>
    <row r="56" spans="1:7">
      <c r="A56" s="18"/>
      <c r="B56" s="18"/>
      <c r="C56" s="18"/>
      <c r="D56" s="18"/>
      <c r="E56" s="18"/>
      <c r="F56" s="18"/>
      <c r="G56" s="18"/>
    </row>
    <row r="57" spans="1:7">
      <c r="A57" s="22" t="s">
        <v>137</v>
      </c>
      <c r="B57" s="22" t="s">
        <v>68</v>
      </c>
      <c r="C57" s="22" t="s">
        <v>138</v>
      </c>
      <c r="D57" s="22" t="s">
        <v>139</v>
      </c>
      <c r="E57" s="22" t="s">
        <v>140</v>
      </c>
      <c r="F57" s="22" t="s">
        <v>66</v>
      </c>
      <c r="G57" s="18"/>
    </row>
    <row r="58" spans="1:7">
      <c r="A58" s="18" t="s">
        <v>141</v>
      </c>
      <c r="B58" s="18" t="s">
        <v>73</v>
      </c>
      <c r="C58" s="18">
        <v>1.2</v>
      </c>
      <c r="D58" s="18">
        <v>41</v>
      </c>
      <c r="E58" s="18">
        <v>63</v>
      </c>
      <c r="F58" s="18" t="s">
        <v>66</v>
      </c>
      <c r="G58" s="18"/>
    </row>
    <row r="59" spans="1:7">
      <c r="A59" s="18"/>
      <c r="B59" s="18"/>
      <c r="C59" s="18"/>
      <c r="D59" s="18"/>
      <c r="E59" s="18"/>
      <c r="F59" s="18"/>
      <c r="G59" s="18"/>
    </row>
    <row r="60" spans="1:7">
      <c r="A60" s="22" t="s">
        <v>142</v>
      </c>
      <c r="B60" s="22" t="s">
        <v>68</v>
      </c>
      <c r="C60" s="23" t="s">
        <v>143</v>
      </c>
      <c r="D60" s="23" t="s">
        <v>144</v>
      </c>
      <c r="E60" s="22" t="s">
        <v>145</v>
      </c>
      <c r="F60" s="22" t="s">
        <v>146</v>
      </c>
      <c r="G60" s="18"/>
    </row>
    <row r="61" spans="1:7">
      <c r="A61" s="18" t="s">
        <v>147</v>
      </c>
      <c r="B61" s="18" t="s">
        <v>73</v>
      </c>
      <c r="C61" s="18">
        <v>8</v>
      </c>
      <c r="D61" s="18">
        <v>6</v>
      </c>
      <c r="E61" s="18">
        <v>69</v>
      </c>
      <c r="F61" s="21">
        <v>1479</v>
      </c>
      <c r="G61" s="18"/>
    </row>
    <row r="62" spans="1:7">
      <c r="A62" s="18"/>
      <c r="B62" s="18"/>
      <c r="C62" s="18"/>
      <c r="D62" s="18"/>
      <c r="E62" s="18"/>
      <c r="F62" s="18"/>
      <c r="G62" s="18"/>
    </row>
    <row r="63" spans="1:7">
      <c r="A63" s="22" t="s">
        <v>148</v>
      </c>
      <c r="B63" s="22" t="s">
        <v>68</v>
      </c>
      <c r="C63" s="22" t="s">
        <v>149</v>
      </c>
      <c r="D63" s="22" t="s">
        <v>150</v>
      </c>
      <c r="E63" s="22" t="s">
        <v>151</v>
      </c>
      <c r="F63" s="22" t="s">
        <v>66</v>
      </c>
      <c r="G63" s="18"/>
    </row>
    <row r="64" spans="1:7">
      <c r="A64" s="18" t="s">
        <v>152</v>
      </c>
      <c r="B64" s="18" t="s">
        <v>73</v>
      </c>
      <c r="C64" s="18">
        <v>2.7</v>
      </c>
      <c r="D64" s="18">
        <v>16</v>
      </c>
      <c r="E64" s="18">
        <v>69</v>
      </c>
      <c r="F64" s="18" t="s">
        <v>66</v>
      </c>
      <c r="G64" s="18"/>
    </row>
    <row r="65" spans="1:7">
      <c r="A65" s="18"/>
      <c r="B65" s="18"/>
      <c r="C65" s="18"/>
      <c r="D65" s="18"/>
      <c r="E65" s="18"/>
      <c r="F65" s="18"/>
      <c r="G65" s="18"/>
    </row>
    <row r="66" spans="1:7">
      <c r="A66" s="22" t="s">
        <v>153</v>
      </c>
      <c r="B66" s="22" t="s">
        <v>68</v>
      </c>
      <c r="C66" s="22" t="s">
        <v>154</v>
      </c>
      <c r="D66" s="23" t="s">
        <v>155</v>
      </c>
      <c r="E66" s="22" t="s">
        <v>156</v>
      </c>
      <c r="F66" s="22" t="s">
        <v>66</v>
      </c>
      <c r="G66" s="18"/>
    </row>
    <row r="67" spans="1:7">
      <c r="A67" s="18" t="s">
        <v>157</v>
      </c>
      <c r="B67" s="18" t="s">
        <v>73</v>
      </c>
      <c r="C67" s="18">
        <v>3.1</v>
      </c>
      <c r="D67" s="18">
        <v>14</v>
      </c>
      <c r="E67" s="18">
        <v>80</v>
      </c>
      <c r="F67" s="18" t="s">
        <v>66</v>
      </c>
      <c r="G67" s="18"/>
    </row>
    <row r="68" spans="1:7">
      <c r="A68" s="18"/>
      <c r="B68" s="18"/>
      <c r="C68" s="18"/>
      <c r="D68" s="18"/>
      <c r="E68" s="18"/>
      <c r="F68" s="18"/>
      <c r="G68" s="18"/>
    </row>
    <row r="69" spans="1:7">
      <c r="A69" s="18" t="s">
        <v>158</v>
      </c>
      <c r="B69" s="18" t="s">
        <v>73</v>
      </c>
      <c r="C69" s="18">
        <v>2.6</v>
      </c>
      <c r="D69" s="18">
        <v>16</v>
      </c>
      <c r="E69" s="18">
        <v>26</v>
      </c>
      <c r="F69" s="18">
        <v>783</v>
      </c>
      <c r="G69" s="18"/>
    </row>
    <row r="70" spans="1:7">
      <c r="A70" s="18"/>
      <c r="B70" s="18"/>
      <c r="C70" s="18"/>
      <c r="D70" s="18"/>
      <c r="E70" s="18"/>
      <c r="F70" s="18"/>
      <c r="G70" s="18"/>
    </row>
    <row r="71" spans="1:7">
      <c r="A71" s="59" t="s">
        <v>159</v>
      </c>
      <c r="B71" s="59"/>
      <c r="C71" s="59"/>
      <c r="D71" s="59"/>
      <c r="E71" s="59"/>
      <c r="F71" s="59"/>
      <c r="G71" s="59"/>
    </row>
    <row r="72" spans="1:7">
      <c r="A72" s="18" t="s">
        <v>160</v>
      </c>
      <c r="B72" s="18" t="s">
        <v>61</v>
      </c>
      <c r="C72" s="18">
        <f>AVERAGE(1.9,2.9)</f>
        <v>2.4</v>
      </c>
      <c r="D72" s="18">
        <f>AVERAGE(14,16)</f>
        <v>15</v>
      </c>
      <c r="E72" s="18">
        <v>69</v>
      </c>
      <c r="F72" s="18">
        <v>1585</v>
      </c>
      <c r="G72" s="30" t="s">
        <v>258</v>
      </c>
    </row>
    <row r="73" spans="1:7">
      <c r="A73" s="18"/>
      <c r="B73" s="18"/>
      <c r="C73" s="18"/>
      <c r="D73" s="18"/>
      <c r="E73" s="18"/>
      <c r="F73" s="18"/>
      <c r="G73" s="18"/>
    </row>
    <row r="74" spans="1:7">
      <c r="A74" s="18" t="s">
        <v>161</v>
      </c>
      <c r="B74" s="18" t="s">
        <v>61</v>
      </c>
      <c r="C74" s="18">
        <f>AVERAGE(5.5,6.5)</f>
        <v>6</v>
      </c>
      <c r="D74" s="24">
        <f>AVERAGE(6,10)</f>
        <v>8</v>
      </c>
      <c r="E74" s="18" t="s">
        <v>66</v>
      </c>
      <c r="F74" s="18" t="s">
        <v>66</v>
      </c>
      <c r="G74" s="18"/>
    </row>
    <row r="75" spans="1:7">
      <c r="A75" s="18"/>
      <c r="B75" s="18"/>
      <c r="C75" s="18"/>
      <c r="D75" s="18"/>
      <c r="E75" s="18"/>
      <c r="F75" s="18"/>
      <c r="G75" s="18"/>
    </row>
    <row r="76" spans="1:7">
      <c r="A76" s="18" t="s">
        <v>162</v>
      </c>
      <c r="B76" s="18" t="s">
        <v>61</v>
      </c>
      <c r="C76" s="18">
        <f>AVERAGE(0.2,0.25)</f>
        <v>0.22500000000000001</v>
      </c>
      <c r="D76" s="18">
        <f>AVERAGE(127,178)</f>
        <v>152.5</v>
      </c>
      <c r="E76" s="18">
        <f>AVERAGE(18,20)</f>
        <v>19</v>
      </c>
      <c r="F76" s="18" t="s">
        <v>66</v>
      </c>
      <c r="G76" s="18"/>
    </row>
    <row r="77" spans="1:7">
      <c r="A77" s="18"/>
      <c r="B77" s="18"/>
      <c r="C77" s="18"/>
      <c r="D77" s="18"/>
      <c r="E77" s="18"/>
      <c r="F77" s="18"/>
      <c r="G77" s="18"/>
    </row>
    <row r="78" spans="1:7">
      <c r="A78" s="18" t="s">
        <v>163</v>
      </c>
      <c r="B78" s="18" t="s">
        <v>61</v>
      </c>
      <c r="C78" s="18">
        <v>2.6</v>
      </c>
      <c r="D78" s="18">
        <v>19</v>
      </c>
      <c r="E78" s="18" t="s">
        <v>66</v>
      </c>
      <c r="F78" s="18" t="s">
        <v>66</v>
      </c>
      <c r="G78" s="18"/>
    </row>
    <row r="79" spans="1:7">
      <c r="A79" s="18"/>
      <c r="B79" s="18"/>
      <c r="C79" s="18"/>
      <c r="D79" s="18"/>
      <c r="E79" s="18"/>
      <c r="F79" s="18"/>
      <c r="G79" s="18"/>
    </row>
    <row r="80" spans="1:7">
      <c r="A80" s="18" t="s">
        <v>164</v>
      </c>
      <c r="B80" s="18" t="s">
        <v>61</v>
      </c>
      <c r="C80" s="18">
        <f>AVERAGE(0.6,1.3)</f>
        <v>0.95</v>
      </c>
      <c r="D80" s="18">
        <f>AVERAGE(34,80)</f>
        <v>57</v>
      </c>
      <c r="E80" s="18" t="s">
        <v>66</v>
      </c>
      <c r="F80" s="18" t="s">
        <v>66</v>
      </c>
      <c r="G80" s="18"/>
    </row>
    <row r="81" spans="1:7">
      <c r="A81" s="18" t="s">
        <v>165</v>
      </c>
      <c r="B81" s="18"/>
      <c r="C81" s="18"/>
      <c r="D81" s="18"/>
      <c r="E81" s="18"/>
      <c r="F81" s="18"/>
      <c r="G81" s="18"/>
    </row>
    <row r="82" spans="1:7">
      <c r="A82" s="18"/>
      <c r="B82" s="18"/>
      <c r="C82" s="18"/>
      <c r="D82" s="18"/>
      <c r="E82" s="18"/>
      <c r="F82" s="18"/>
      <c r="G82" s="18"/>
    </row>
    <row r="83" spans="1:7">
      <c r="A83" s="22" t="s">
        <v>166</v>
      </c>
      <c r="B83" s="22" t="s">
        <v>68</v>
      </c>
      <c r="C83" s="22" t="s">
        <v>167</v>
      </c>
      <c r="D83" s="23" t="s">
        <v>168</v>
      </c>
      <c r="E83" s="22" t="s">
        <v>169</v>
      </c>
      <c r="F83" s="22" t="s">
        <v>170</v>
      </c>
      <c r="G83" s="18"/>
    </row>
    <row r="84" spans="1:7">
      <c r="A84" s="18" t="s">
        <v>171</v>
      </c>
      <c r="B84" s="18" t="s">
        <v>61</v>
      </c>
      <c r="C84" s="18">
        <v>5.6</v>
      </c>
      <c r="D84" s="18">
        <v>6</v>
      </c>
      <c r="E84" s="18">
        <f>AVERAGE(72,84)</f>
        <v>78</v>
      </c>
      <c r="F84" s="18" t="s">
        <v>66</v>
      </c>
      <c r="G84" s="18"/>
    </row>
    <row r="85" spans="1:7">
      <c r="A85" s="18" t="s">
        <v>172</v>
      </c>
      <c r="B85" s="18" t="s">
        <v>61</v>
      </c>
      <c r="C85" s="18">
        <v>1.9</v>
      </c>
      <c r="D85" s="18">
        <v>16</v>
      </c>
      <c r="E85" s="18">
        <f>AVERAGE(72,84)</f>
        <v>78</v>
      </c>
      <c r="F85" s="18" t="s">
        <v>66</v>
      </c>
      <c r="G85" s="18"/>
    </row>
    <row r="86" spans="1:7">
      <c r="A86" s="18"/>
      <c r="B86" s="18"/>
      <c r="C86" s="18"/>
      <c r="D86" s="18"/>
      <c r="E86" s="18"/>
      <c r="F86" s="18"/>
      <c r="G86" s="18"/>
    </row>
    <row r="87" spans="1:7">
      <c r="A87" s="18"/>
      <c r="B87" s="18"/>
      <c r="C87" s="18"/>
      <c r="D87" s="18"/>
      <c r="E87" s="18"/>
      <c r="F87" s="18"/>
      <c r="G87" s="18"/>
    </row>
    <row r="88" spans="1:7">
      <c r="A88" s="59" t="s">
        <v>173</v>
      </c>
      <c r="B88" s="59"/>
      <c r="C88" s="59"/>
      <c r="D88" s="59"/>
      <c r="E88" s="59"/>
      <c r="F88" s="59"/>
      <c r="G88" s="59"/>
    </row>
    <row r="89" spans="1:7">
      <c r="A89" s="18" t="s">
        <v>174</v>
      </c>
      <c r="B89" s="18" t="s">
        <v>61</v>
      </c>
      <c r="C89" s="18">
        <f>AVERAGE(1.2,1.4)</f>
        <v>1.2999999999999998</v>
      </c>
      <c r="D89" s="18">
        <f>AVERAGE(38,43)</f>
        <v>40.5</v>
      </c>
      <c r="E89" s="18">
        <f>AVERAGE(65,68)</f>
        <v>66.5</v>
      </c>
      <c r="F89" s="18" t="s">
        <v>66</v>
      </c>
      <c r="G89" s="18"/>
    </row>
    <row r="90" spans="1:7">
      <c r="A90" s="18"/>
      <c r="B90" s="18"/>
      <c r="C90" s="18"/>
      <c r="D90" s="18"/>
      <c r="E90" s="18"/>
      <c r="F90" s="18"/>
      <c r="G90" s="18"/>
    </row>
    <row r="91" spans="1:7">
      <c r="A91" s="22" t="s">
        <v>175</v>
      </c>
      <c r="B91" s="22" t="s">
        <v>68</v>
      </c>
      <c r="C91" s="22" t="s">
        <v>176</v>
      </c>
      <c r="D91" s="22" t="s">
        <v>177</v>
      </c>
      <c r="E91" s="23" t="s">
        <v>178</v>
      </c>
      <c r="F91" s="18" t="s">
        <v>66</v>
      </c>
      <c r="G91" s="18"/>
    </row>
    <row r="92" spans="1:7">
      <c r="A92" s="18" t="s">
        <v>179</v>
      </c>
      <c r="B92" s="18" t="s">
        <v>73</v>
      </c>
      <c r="C92" s="18">
        <v>2.1</v>
      </c>
      <c r="D92" s="18">
        <f>AVERAGE(15,32)</f>
        <v>23.5</v>
      </c>
      <c r="E92" s="18">
        <f>AVERAGE(8,10)</f>
        <v>9</v>
      </c>
      <c r="F92" s="18" t="s">
        <v>66</v>
      </c>
      <c r="G92" s="18"/>
    </row>
    <row r="93" spans="1:7">
      <c r="A93" s="18"/>
      <c r="B93" s="18"/>
      <c r="C93" s="18"/>
      <c r="D93" s="18"/>
      <c r="E93" s="18"/>
      <c r="F93" s="18"/>
      <c r="G93" s="18"/>
    </row>
    <row r="94" spans="1:7">
      <c r="A94" s="22" t="s">
        <v>180</v>
      </c>
      <c r="B94" s="22" t="s">
        <v>68</v>
      </c>
      <c r="C94" s="22" t="s">
        <v>181</v>
      </c>
      <c r="D94" s="22" t="s">
        <v>182</v>
      </c>
      <c r="E94" s="22" t="s">
        <v>66</v>
      </c>
      <c r="F94" s="22" t="s">
        <v>66</v>
      </c>
      <c r="G94" s="18"/>
    </row>
    <row r="95" spans="1:7">
      <c r="A95" s="18" t="s">
        <v>183</v>
      </c>
      <c r="B95" s="18" t="s">
        <v>73</v>
      </c>
      <c r="C95" s="18">
        <v>2.5</v>
      </c>
      <c r="D95" s="18">
        <v>16</v>
      </c>
      <c r="E95" s="18">
        <v>0</v>
      </c>
      <c r="F95" s="18" t="s">
        <v>66</v>
      </c>
      <c r="G95" s="18"/>
    </row>
    <row r="96" spans="1:7">
      <c r="A96" s="18"/>
      <c r="B96" s="18"/>
      <c r="C96" s="18"/>
      <c r="D96" s="18"/>
      <c r="E96" s="18"/>
      <c r="F96" s="18"/>
      <c r="G96" s="18"/>
    </row>
    <row r="97" spans="1:7">
      <c r="A97" s="22" t="s">
        <v>184</v>
      </c>
      <c r="B97" s="22" t="s">
        <v>68</v>
      </c>
      <c r="C97" s="22" t="s">
        <v>185</v>
      </c>
      <c r="D97" s="22" t="s">
        <v>66</v>
      </c>
      <c r="E97" s="22" t="s">
        <v>66</v>
      </c>
      <c r="F97" s="22" t="s">
        <v>66</v>
      </c>
      <c r="G97" s="18"/>
    </row>
    <row r="98" spans="1:7">
      <c r="A98" s="18" t="s">
        <v>186</v>
      </c>
      <c r="B98" s="18" t="s">
        <v>73</v>
      </c>
      <c r="C98" s="18">
        <v>1.3</v>
      </c>
      <c r="D98" s="18">
        <v>32</v>
      </c>
      <c r="E98" s="18">
        <v>0</v>
      </c>
      <c r="F98" s="18" t="s">
        <v>66</v>
      </c>
      <c r="G98" s="18"/>
    </row>
    <row r="99" spans="1:7">
      <c r="A99" s="18"/>
      <c r="B99" s="18"/>
      <c r="C99" s="18"/>
      <c r="D99" s="18"/>
      <c r="E99" s="18"/>
      <c r="F99" s="18"/>
      <c r="G99" s="18"/>
    </row>
    <row r="100" spans="1:7">
      <c r="A100" s="22" t="s">
        <v>187</v>
      </c>
      <c r="B100" s="22" t="s">
        <v>68</v>
      </c>
      <c r="C100" s="22" t="s">
        <v>188</v>
      </c>
      <c r="D100" s="22" t="s">
        <v>189</v>
      </c>
      <c r="E100" s="23" t="s">
        <v>190</v>
      </c>
      <c r="F100" s="22" t="s">
        <v>191</v>
      </c>
      <c r="G100" s="18"/>
    </row>
    <row r="101" spans="1:7">
      <c r="A101" s="18" t="s">
        <v>192</v>
      </c>
      <c r="B101" s="18" t="s">
        <v>73</v>
      </c>
      <c r="C101" s="18">
        <v>0.7</v>
      </c>
      <c r="D101" s="18">
        <v>80</v>
      </c>
      <c r="E101" s="18">
        <v>12</v>
      </c>
      <c r="F101" s="18">
        <v>227</v>
      </c>
      <c r="G101" s="18"/>
    </row>
    <row r="102" spans="1:7">
      <c r="A102" s="18"/>
      <c r="B102" s="18"/>
      <c r="C102" s="18"/>
      <c r="D102" s="18"/>
      <c r="E102" s="18"/>
      <c r="F102" s="18"/>
      <c r="G102" s="18"/>
    </row>
    <row r="103" spans="1:7">
      <c r="A103" s="22" t="s">
        <v>193</v>
      </c>
      <c r="B103" s="22" t="s">
        <v>68</v>
      </c>
      <c r="C103" s="22" t="s">
        <v>194</v>
      </c>
      <c r="D103" s="22" t="s">
        <v>195</v>
      </c>
      <c r="E103" s="22" t="s">
        <v>66</v>
      </c>
      <c r="F103" s="22" t="s">
        <v>66</v>
      </c>
      <c r="G103" s="18"/>
    </row>
    <row r="104" spans="1:7">
      <c r="A104" s="18" t="s">
        <v>196</v>
      </c>
      <c r="B104" s="18" t="s">
        <v>73</v>
      </c>
      <c r="C104" s="18">
        <v>0.9</v>
      </c>
      <c r="D104" s="18">
        <v>60</v>
      </c>
      <c r="E104" s="18">
        <v>0</v>
      </c>
      <c r="F104" s="18">
        <v>227</v>
      </c>
      <c r="G104" s="18"/>
    </row>
    <row r="105" spans="1:7">
      <c r="A105" s="18"/>
      <c r="B105" s="18"/>
      <c r="C105" s="18"/>
      <c r="D105" s="18"/>
      <c r="E105" s="18"/>
      <c r="F105" s="18"/>
      <c r="G105" s="18"/>
    </row>
    <row r="106" spans="1:7">
      <c r="A106" s="22" t="s">
        <v>197</v>
      </c>
      <c r="B106" s="22" t="s">
        <v>68</v>
      </c>
      <c r="C106" s="22" t="s">
        <v>198</v>
      </c>
      <c r="D106" s="22" t="s">
        <v>199</v>
      </c>
      <c r="E106" s="22" t="s">
        <v>66</v>
      </c>
      <c r="F106" s="22" t="s">
        <v>66</v>
      </c>
      <c r="G106" s="18"/>
    </row>
    <row r="107" spans="1:7">
      <c r="A107" s="18" t="s">
        <v>200</v>
      </c>
      <c r="B107" s="18" t="s">
        <v>73</v>
      </c>
      <c r="C107" s="18">
        <v>0.4</v>
      </c>
      <c r="D107" s="18">
        <v>127</v>
      </c>
      <c r="E107" s="18">
        <v>0</v>
      </c>
      <c r="F107" s="18">
        <v>227</v>
      </c>
      <c r="G107" s="18"/>
    </row>
    <row r="108" spans="1:7">
      <c r="A108" s="18"/>
      <c r="B108" s="18"/>
      <c r="C108" s="18"/>
      <c r="D108" s="18"/>
      <c r="E108" s="18"/>
      <c r="F108" s="18"/>
      <c r="G108" s="18"/>
    </row>
    <row r="109" spans="1:7">
      <c r="A109" s="59" t="s">
        <v>201</v>
      </c>
      <c r="B109" s="59"/>
      <c r="C109" s="59"/>
      <c r="D109" s="59"/>
      <c r="E109" s="59"/>
      <c r="F109" s="59"/>
      <c r="G109" s="59"/>
    </row>
    <row r="110" spans="1:7">
      <c r="A110" s="22" t="s">
        <v>202</v>
      </c>
      <c r="B110" s="22" t="s">
        <v>68</v>
      </c>
      <c r="C110" s="22" t="s">
        <v>203</v>
      </c>
      <c r="D110" s="22" t="s">
        <v>204</v>
      </c>
      <c r="E110" s="22" t="s">
        <v>66</v>
      </c>
      <c r="F110" s="22" t="s">
        <v>66</v>
      </c>
      <c r="G110" s="18"/>
    </row>
    <row r="111" spans="1:7">
      <c r="A111" s="18" t="s">
        <v>205</v>
      </c>
      <c r="B111" s="18" t="s">
        <v>73</v>
      </c>
      <c r="C111" s="18">
        <v>0.24099999999999999</v>
      </c>
      <c r="D111" s="18">
        <v>223</v>
      </c>
      <c r="E111" s="18">
        <v>0</v>
      </c>
      <c r="F111" s="18" t="s">
        <v>66</v>
      </c>
      <c r="G111" s="18"/>
    </row>
    <row r="112" spans="1:7">
      <c r="A112" s="22" t="s">
        <v>206</v>
      </c>
      <c r="B112" s="22" t="s">
        <v>68</v>
      </c>
      <c r="C112" s="22" t="s">
        <v>207</v>
      </c>
      <c r="D112" s="22" t="s">
        <v>208</v>
      </c>
      <c r="E112" s="22" t="s">
        <v>66</v>
      </c>
      <c r="F112" s="22" t="s">
        <v>66</v>
      </c>
      <c r="G112" s="18"/>
    </row>
    <row r="113" spans="1:7">
      <c r="A113" s="18" t="s">
        <v>209</v>
      </c>
      <c r="B113" s="18" t="s">
        <v>73</v>
      </c>
      <c r="C113" s="18">
        <v>0.14000000000000001</v>
      </c>
      <c r="D113" s="18">
        <v>496</v>
      </c>
      <c r="E113" s="18">
        <v>0</v>
      </c>
      <c r="F113" s="18" t="s">
        <v>66</v>
      </c>
      <c r="G113" s="18"/>
    </row>
    <row r="114" spans="1:7">
      <c r="A114" s="18" t="s">
        <v>210</v>
      </c>
      <c r="B114" s="18" t="s">
        <v>61</v>
      </c>
      <c r="C114" s="18">
        <v>0.1</v>
      </c>
      <c r="D114" s="18">
        <v>563</v>
      </c>
      <c r="E114" s="18">
        <v>8</v>
      </c>
      <c r="F114" s="18">
        <v>259</v>
      </c>
      <c r="G114" s="18"/>
    </row>
    <row r="115" spans="1:7">
      <c r="A115" s="18" t="s">
        <v>211</v>
      </c>
      <c r="B115" s="18" t="s">
        <v>61</v>
      </c>
      <c r="C115" s="18">
        <v>0.13</v>
      </c>
      <c r="D115" s="18">
        <v>170</v>
      </c>
      <c r="E115" s="18">
        <v>0</v>
      </c>
      <c r="F115" s="18" t="s">
        <v>66</v>
      </c>
      <c r="G115" s="18"/>
    </row>
    <row r="116" spans="1:7">
      <c r="A116" s="18" t="s">
        <v>212</v>
      </c>
      <c r="B116" s="18" t="s">
        <v>61</v>
      </c>
      <c r="C116" s="18">
        <f>AVERAGE(0.06,0.14)</f>
        <v>0.1</v>
      </c>
      <c r="D116" s="18">
        <f>AVERAGE(398,852)</f>
        <v>625</v>
      </c>
      <c r="E116" s="24">
        <f>AVERAGE(3,8)</f>
        <v>5.5</v>
      </c>
      <c r="F116" s="18">
        <f>AVERAGE(195,242)</f>
        <v>218.5</v>
      </c>
      <c r="G116" s="18"/>
    </row>
    <row r="117" spans="1:7">
      <c r="A117" s="18" t="s">
        <v>213</v>
      </c>
      <c r="B117" s="18" t="s">
        <v>61</v>
      </c>
      <c r="C117" s="18" t="s">
        <v>66</v>
      </c>
      <c r="D117" s="18">
        <v>250</v>
      </c>
      <c r="E117" s="18">
        <v>66</v>
      </c>
      <c r="F117" s="18">
        <v>1140</v>
      </c>
      <c r="G117" s="18"/>
    </row>
    <row r="118" spans="1:7">
      <c r="A118" s="18" t="s">
        <v>214</v>
      </c>
      <c r="B118" s="18" t="s">
        <v>61</v>
      </c>
      <c r="C118" s="18">
        <v>0.56000000000000005</v>
      </c>
      <c r="D118" s="18">
        <v>54</v>
      </c>
      <c r="E118" s="18">
        <v>81</v>
      </c>
      <c r="F118" s="18" t="s">
        <v>66</v>
      </c>
      <c r="G118" s="18"/>
    </row>
    <row r="119" spans="1:7">
      <c r="A119" s="18" t="s">
        <v>215</v>
      </c>
      <c r="B119" s="18" t="s">
        <v>61</v>
      </c>
      <c r="C119" s="18">
        <v>0.59</v>
      </c>
      <c r="D119" s="18">
        <v>90</v>
      </c>
      <c r="E119" s="18">
        <v>82</v>
      </c>
      <c r="F119" s="18">
        <v>1403</v>
      </c>
      <c r="G119" s="18"/>
    </row>
    <row r="120" spans="1:7">
      <c r="A120" s="22" t="s">
        <v>216</v>
      </c>
      <c r="B120" s="22" t="s">
        <v>68</v>
      </c>
      <c r="C120" s="22" t="s">
        <v>217</v>
      </c>
      <c r="D120" s="22" t="s">
        <v>218</v>
      </c>
      <c r="E120" s="22" t="s">
        <v>219</v>
      </c>
      <c r="F120" s="22" t="s">
        <v>220</v>
      </c>
      <c r="G120" s="18"/>
    </row>
    <row r="121" spans="1:7">
      <c r="A121" s="18" t="s">
        <v>221</v>
      </c>
      <c r="B121" s="18" t="s">
        <v>73</v>
      </c>
      <c r="C121" s="18">
        <v>0.24</v>
      </c>
      <c r="D121" s="18">
        <v>442</v>
      </c>
      <c r="E121" s="18">
        <v>39</v>
      </c>
      <c r="F121" s="18">
        <v>410</v>
      </c>
      <c r="G121" s="18"/>
    </row>
    <row r="122" spans="1:7">
      <c r="A122" s="18" t="s">
        <v>222</v>
      </c>
      <c r="B122" s="18" t="s">
        <v>61</v>
      </c>
      <c r="C122" s="18">
        <v>0.7</v>
      </c>
      <c r="D122" s="18">
        <v>772</v>
      </c>
      <c r="E122" s="18">
        <v>6</v>
      </c>
      <c r="F122" s="18">
        <v>250</v>
      </c>
      <c r="G122" s="18"/>
    </row>
    <row r="123" spans="1:7">
      <c r="A123" s="18" t="s">
        <v>223</v>
      </c>
      <c r="B123" s="18" t="s">
        <v>61</v>
      </c>
      <c r="C123" s="18" t="s">
        <v>66</v>
      </c>
      <c r="D123" s="18" t="s">
        <v>66</v>
      </c>
      <c r="E123" s="18" t="s">
        <v>66</v>
      </c>
      <c r="F123" s="18">
        <f>AVERAGE(445,620)</f>
        <v>532.5</v>
      </c>
      <c r="G123" s="18"/>
    </row>
    <row r="124" spans="1:7">
      <c r="A124" s="22" t="s">
        <v>224</v>
      </c>
      <c r="B124" s="22" t="s">
        <v>68</v>
      </c>
      <c r="C124" s="22" t="s">
        <v>225</v>
      </c>
      <c r="D124" s="22" t="s">
        <v>226</v>
      </c>
      <c r="E124" s="22" t="s">
        <v>66</v>
      </c>
      <c r="F124" s="22" t="s">
        <v>66</v>
      </c>
      <c r="G124" s="18"/>
    </row>
    <row r="125" spans="1:7">
      <c r="A125" s="18" t="s">
        <v>250</v>
      </c>
      <c r="B125" s="18" t="s">
        <v>73</v>
      </c>
      <c r="C125" s="18">
        <v>0.09</v>
      </c>
      <c r="D125" s="18">
        <v>560</v>
      </c>
      <c r="E125" s="18">
        <v>0</v>
      </c>
      <c r="F125" s="18">
        <f>AVERAGE(445,620)</f>
        <v>532.5</v>
      </c>
      <c r="G125" s="18"/>
    </row>
    <row r="126" spans="1:7">
      <c r="A126" s="18"/>
      <c r="B126" s="18"/>
      <c r="C126" s="18"/>
      <c r="D126" s="18"/>
      <c r="E126" s="18"/>
      <c r="F126" s="18"/>
      <c r="G126" s="18"/>
    </row>
    <row r="127" spans="1:7">
      <c r="A127" s="22" t="s">
        <v>227</v>
      </c>
      <c r="B127" s="22" t="s">
        <v>68</v>
      </c>
      <c r="C127" s="22" t="s">
        <v>228</v>
      </c>
      <c r="D127" s="22" t="s">
        <v>229</v>
      </c>
      <c r="E127" s="22" t="s">
        <v>66</v>
      </c>
      <c r="F127" s="22" t="s">
        <v>66</v>
      </c>
      <c r="G127" s="18"/>
    </row>
    <row r="128" spans="1:7">
      <c r="A128" s="18" t="s">
        <v>251</v>
      </c>
      <c r="B128" s="18" t="s">
        <v>73</v>
      </c>
      <c r="C128" s="18">
        <v>0.09</v>
      </c>
      <c r="D128" s="18">
        <v>641</v>
      </c>
      <c r="E128" s="18">
        <v>0</v>
      </c>
      <c r="F128" s="18">
        <f>AVERAGE(445,620)</f>
        <v>532.5</v>
      </c>
      <c r="G128" s="18"/>
    </row>
    <row r="129" spans="1:7">
      <c r="A129" s="18"/>
      <c r="B129" s="18"/>
      <c r="C129" s="18"/>
      <c r="D129" s="18"/>
      <c r="E129" s="18"/>
      <c r="F129" s="18"/>
      <c r="G129" s="18"/>
    </row>
    <row r="130" spans="1:7">
      <c r="A130" s="59" t="s">
        <v>230</v>
      </c>
      <c r="B130" s="59"/>
      <c r="C130" s="59"/>
      <c r="D130" s="59"/>
      <c r="E130" s="59"/>
      <c r="F130" s="59"/>
      <c r="G130" s="59"/>
    </row>
    <row r="131" spans="1:7">
      <c r="A131" s="22" t="s">
        <v>231</v>
      </c>
      <c r="B131" s="22" t="s">
        <v>68</v>
      </c>
      <c r="C131" s="22" t="s">
        <v>232</v>
      </c>
      <c r="D131" s="23" t="s">
        <v>233</v>
      </c>
      <c r="E131" s="22" t="s">
        <v>66</v>
      </c>
      <c r="F131" s="22" t="s">
        <v>66</v>
      </c>
      <c r="G131" s="18"/>
    </row>
    <row r="132" spans="1:7">
      <c r="A132" s="18" t="s">
        <v>234</v>
      </c>
      <c r="B132" s="18" t="s">
        <v>73</v>
      </c>
      <c r="C132" s="18">
        <v>3.4</v>
      </c>
      <c r="D132" s="18">
        <v>17</v>
      </c>
      <c r="E132" s="18">
        <v>82</v>
      </c>
      <c r="F132" s="18" t="s">
        <v>66</v>
      </c>
      <c r="G132" s="18"/>
    </row>
    <row r="133" spans="1:7">
      <c r="A133" s="18" t="s">
        <v>252</v>
      </c>
      <c r="B133" s="18" t="s">
        <v>61</v>
      </c>
      <c r="C133" s="18">
        <v>3.4</v>
      </c>
      <c r="D133" s="18">
        <v>17</v>
      </c>
      <c r="E133" s="18">
        <v>82</v>
      </c>
      <c r="F133" s="18">
        <f>AVERAGE(300,400)</f>
        <v>350</v>
      </c>
      <c r="G133" s="18"/>
    </row>
    <row r="134" spans="1:7">
      <c r="A134" s="18" t="s">
        <v>253</v>
      </c>
      <c r="B134" s="18" t="s">
        <v>61</v>
      </c>
      <c r="C134" s="18">
        <v>3.4</v>
      </c>
      <c r="D134" s="18">
        <v>17</v>
      </c>
      <c r="E134" s="18">
        <v>82</v>
      </c>
      <c r="F134" s="18">
        <f>AVERAGE(500,800)</f>
        <v>650</v>
      </c>
      <c r="G134" s="18"/>
    </row>
    <row r="135" spans="1:7">
      <c r="A135" s="22" t="s">
        <v>235</v>
      </c>
      <c r="B135" s="22" t="s">
        <v>68</v>
      </c>
      <c r="C135" s="22" t="s">
        <v>236</v>
      </c>
      <c r="D135" s="22" t="s">
        <v>237</v>
      </c>
      <c r="E135" s="22" t="s">
        <v>66</v>
      </c>
      <c r="F135" s="22" t="s">
        <v>66</v>
      </c>
      <c r="G135" s="18"/>
    </row>
    <row r="136" spans="1:7">
      <c r="A136" s="18" t="s">
        <v>238</v>
      </c>
      <c r="B136" s="18" t="s">
        <v>73</v>
      </c>
      <c r="C136" s="18">
        <v>0.9</v>
      </c>
      <c r="D136" s="18">
        <v>54</v>
      </c>
      <c r="E136" s="18">
        <v>38</v>
      </c>
      <c r="F136" s="18" t="s">
        <v>66</v>
      </c>
      <c r="G136" s="18"/>
    </row>
    <row r="137" spans="1:7">
      <c r="A137" s="18" t="s">
        <v>239</v>
      </c>
      <c r="B137" s="18" t="s">
        <v>61</v>
      </c>
      <c r="C137" s="18">
        <v>0.9</v>
      </c>
      <c r="D137" s="18">
        <v>54</v>
      </c>
      <c r="E137" s="18">
        <v>15</v>
      </c>
      <c r="F137" s="18">
        <f>AVERAGE(100,300)</f>
        <v>200</v>
      </c>
      <c r="G137" s="30" t="s">
        <v>257</v>
      </c>
    </row>
    <row r="138" spans="1:7">
      <c r="A138" s="18" t="s">
        <v>240</v>
      </c>
      <c r="B138" s="18" t="s">
        <v>61</v>
      </c>
      <c r="C138" s="18">
        <v>0.9</v>
      </c>
      <c r="D138" s="18">
        <v>54</v>
      </c>
      <c r="E138" s="18">
        <v>38</v>
      </c>
      <c r="F138" s="18">
        <f>AVERAGE(400,500)</f>
        <v>450</v>
      </c>
      <c r="G138" s="18"/>
    </row>
    <row r="139" spans="1:7">
      <c r="A139" s="22" t="s">
        <v>241</v>
      </c>
      <c r="B139" s="22" t="s">
        <v>68</v>
      </c>
      <c r="C139" s="22" t="s">
        <v>242</v>
      </c>
      <c r="D139" s="28" t="s">
        <v>243</v>
      </c>
      <c r="E139" s="22" t="s">
        <v>66</v>
      </c>
      <c r="F139" s="22" t="s">
        <v>66</v>
      </c>
      <c r="G139" s="18"/>
    </row>
    <row r="140" spans="1:7">
      <c r="A140" s="18" t="s">
        <v>244</v>
      </c>
      <c r="B140" s="18" t="s">
        <v>73</v>
      </c>
      <c r="C140" s="18">
        <v>1.9</v>
      </c>
      <c r="D140" s="18">
        <v>17</v>
      </c>
      <c r="E140" s="18">
        <v>53</v>
      </c>
      <c r="F140" s="18" t="s">
        <v>66</v>
      </c>
      <c r="G140" s="18"/>
    </row>
    <row r="141" spans="1:7">
      <c r="A141" s="18" t="s">
        <v>245</v>
      </c>
      <c r="B141" s="18" t="s">
        <v>61</v>
      </c>
      <c r="C141" s="18">
        <v>1</v>
      </c>
      <c r="D141" s="18">
        <v>53</v>
      </c>
      <c r="E141" s="18">
        <v>15</v>
      </c>
      <c r="F141" s="18">
        <v>429</v>
      </c>
      <c r="G141" s="18"/>
    </row>
    <row r="142" spans="1:7">
      <c r="A142" s="18" t="s">
        <v>246</v>
      </c>
      <c r="B142" s="18" t="s">
        <v>61</v>
      </c>
      <c r="C142" s="18">
        <v>3.1</v>
      </c>
      <c r="D142" s="18">
        <v>16</v>
      </c>
      <c r="E142" s="18">
        <v>70</v>
      </c>
      <c r="F142" s="21">
        <v>1296</v>
      </c>
      <c r="G142" s="18"/>
    </row>
    <row r="143" spans="1:7">
      <c r="A143" s="18" t="s">
        <v>247</v>
      </c>
      <c r="B143" s="18" t="s">
        <v>61</v>
      </c>
      <c r="C143" s="18" t="s">
        <v>66</v>
      </c>
      <c r="D143" s="18">
        <f>AVERAGE(20,30)</f>
        <v>25</v>
      </c>
      <c r="E143" s="18">
        <v>93</v>
      </c>
      <c r="F143" s="18">
        <v>405</v>
      </c>
      <c r="G143" s="16"/>
    </row>
    <row r="144" spans="1:7">
      <c r="A144" s="29" t="s">
        <v>254</v>
      </c>
      <c r="B144" s="18" t="s">
        <v>61</v>
      </c>
      <c r="C144" s="29">
        <v>0</v>
      </c>
      <c r="D144" s="29">
        <v>0</v>
      </c>
      <c r="E144" s="29">
        <v>100</v>
      </c>
      <c r="F144" s="31">
        <f>1*(1/1000)*(2.2/1)*(1/0.000001308)</f>
        <v>1681.9571865443427</v>
      </c>
    </row>
    <row r="145" spans="1:7">
      <c r="A145" s="29" t="s">
        <v>248</v>
      </c>
      <c r="B145" s="29" t="s">
        <v>61</v>
      </c>
      <c r="C145">
        <f>AVERAGE(0.15,0.19)*(100-E145)</f>
        <v>0.93499999999999994</v>
      </c>
      <c r="D145" s="29">
        <v>0.8</v>
      </c>
      <c r="E145">
        <f>AVERAGE(93,96)</f>
        <v>94.5</v>
      </c>
      <c r="F145" s="31">
        <f>1.024*(1/1000)*(2.2/1)*(1/0.000001308)</f>
        <v>1722.3241590214068</v>
      </c>
      <c r="G145" t="s">
        <v>255</v>
      </c>
    </row>
    <row r="146" spans="1:7">
      <c r="A146" s="29"/>
      <c r="C146" s="29"/>
      <c r="D146" s="29"/>
      <c r="E146" s="29"/>
      <c r="F146" s="31"/>
    </row>
  </sheetData>
  <mergeCells count="6">
    <mergeCell ref="A130:G130"/>
    <mergeCell ref="A30:G30"/>
    <mergeCell ref="A45:G45"/>
    <mergeCell ref="A71:G71"/>
    <mergeCell ref="A88:G88"/>
    <mergeCell ref="A109:G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Calcs</vt:lpstr>
      <vt:lpstr>DataTable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Lauri Wellin</cp:lastModifiedBy>
  <dcterms:created xsi:type="dcterms:W3CDTF">2014-02-24T03:48:31Z</dcterms:created>
  <dcterms:modified xsi:type="dcterms:W3CDTF">2014-03-04T19:01:48Z</dcterms:modified>
</cp:coreProperties>
</file>